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" sheetId="1" r:id="rId3"/>
    <sheet state="visible" name="PRO AA" sheetId="2" r:id="rId4"/>
    <sheet state="visible" name="WOMENS A" sheetId="3" r:id="rId5"/>
    <sheet state="visible" name="WOMENS AA" sheetId="4" r:id="rId6"/>
    <sheet state="visible" name="MENS PRO  AA" sheetId="5" r:id="rId7"/>
    <sheet state="visible" name="WOMENS A  AA" sheetId="6" r:id="rId8"/>
  </sheets>
  <definedNames>
    <definedName hidden="1" localSheetId="5" name="Z_CD179630_CEA4_44C2_BAF9_DF89828D7E48_.wvu.FilterData">'WOMENS A  AA'!$A$1:$J$312</definedName>
  </definedNames>
  <calcPr/>
  <customWorkbookViews>
    <customWorkbookView activeSheetId="0" maximized="1" windowHeight="0" windowWidth="0" guid="{CD179630-CEA4-44C2-BAF9-DF89828D7E48}" name="Filter 1"/>
  </customWorkbookViews>
</workbook>
</file>

<file path=xl/sharedStrings.xml><?xml version="1.0" encoding="utf-8"?>
<sst xmlns="http://schemas.openxmlformats.org/spreadsheetml/2006/main" count="7131" uniqueCount="2376">
  <si>
    <t>PRO</t>
  </si>
  <si>
    <t>PRO AA</t>
  </si>
  <si>
    <t>WOMENS A</t>
  </si>
  <si>
    <t>WOMENS AA</t>
  </si>
  <si>
    <t>Pro / Pro AA</t>
  </si>
  <si>
    <t>LAST</t>
  </si>
  <si>
    <t>FIRST</t>
  </si>
  <si>
    <t>CITY</t>
  </si>
  <si>
    <t>STATE</t>
  </si>
  <si>
    <t>COUNTRY</t>
  </si>
  <si>
    <t>EVENT</t>
  </si>
  <si>
    <t>PLACE</t>
  </si>
  <si>
    <t>LOCATION</t>
  </si>
  <si>
    <t>ON LIST</t>
  </si>
  <si>
    <t>OFF AA LIST</t>
  </si>
  <si>
    <t>OFF PRO LIST</t>
  </si>
  <si>
    <t>LEVEL</t>
  </si>
  <si>
    <t>ABAT</t>
  </si>
  <si>
    <t>KRISTOPHER</t>
  </si>
  <si>
    <t>TALLAHASEE</t>
  </si>
  <si>
    <t>FL</t>
  </si>
  <si>
    <t>USA</t>
  </si>
  <si>
    <t>PRO/AM CRICKET</t>
  </si>
  <si>
    <t>BS 37 FL</t>
  </si>
  <si>
    <t>Abboud</t>
  </si>
  <si>
    <t>Michael</t>
  </si>
  <si>
    <t>Drums</t>
  </si>
  <si>
    <t>PA</t>
  </si>
  <si>
    <t>Pro/AA Top Gun Triples</t>
  </si>
  <si>
    <t>3rd</t>
  </si>
  <si>
    <t>Known Ability</t>
  </si>
  <si>
    <t>Adams</t>
  </si>
  <si>
    <t>Tim</t>
  </si>
  <si>
    <t>Ruskin</t>
  </si>
  <si>
    <t>TopGun Singles</t>
  </si>
  <si>
    <t>2nd</t>
  </si>
  <si>
    <t>BS 38 Finals</t>
  </si>
  <si>
    <t>ADAMS</t>
  </si>
  <si>
    <t>JEFFERY</t>
  </si>
  <si>
    <t>NORTH PORT</t>
  </si>
  <si>
    <t>MIXED TRIPLES 701</t>
  </si>
  <si>
    <t>1ST</t>
  </si>
  <si>
    <t>BS 36 REGIONAL FL</t>
  </si>
  <si>
    <t>ADLFINGER</t>
  </si>
  <si>
    <t>JACOB</t>
  </si>
  <si>
    <t>ROCK ISLAND</t>
  </si>
  <si>
    <t>IL</t>
  </si>
  <si>
    <t>PRO 501 DBLS</t>
  </si>
  <si>
    <t>BS 37 FINALS</t>
  </si>
  <si>
    <t>ALBERTS</t>
  </si>
  <si>
    <t>DASAN</t>
  </si>
  <si>
    <t>FT TOTTEN</t>
  </si>
  <si>
    <t>ND</t>
  </si>
  <si>
    <t>TOPGUN PRO/PRO AA SINGLES</t>
  </si>
  <si>
    <t>ALCALA</t>
  </si>
  <si>
    <t>KIX</t>
  </si>
  <si>
    <t>YOUNGSTOWN</t>
  </si>
  <si>
    <t>AZ</t>
  </si>
  <si>
    <t>MEN CRICKET DBLS</t>
  </si>
  <si>
    <t>ALEXANDER</t>
  </si>
  <si>
    <t>CHRISTOPHER</t>
  </si>
  <si>
    <t>PITTSBURGH</t>
  </si>
  <si>
    <t>PRO/PRO AA LUCK</t>
  </si>
  <si>
    <t>Algeria</t>
  </si>
  <si>
    <t>Kingsville</t>
  </si>
  <si>
    <t>TX</t>
  </si>
  <si>
    <t>Men Cricket Dbls</t>
  </si>
  <si>
    <t>TX BS 38</t>
  </si>
  <si>
    <t>Allen</t>
  </si>
  <si>
    <t>Wilbert</t>
  </si>
  <si>
    <t>Utica</t>
  </si>
  <si>
    <t>NY</t>
  </si>
  <si>
    <t>Men Singles</t>
  </si>
  <si>
    <t>NY BS 38</t>
  </si>
  <si>
    <t>ALLISON</t>
  </si>
  <si>
    <t>MOODY</t>
  </si>
  <si>
    <t>LAS VEGAS</t>
  </si>
  <si>
    <t>NV</t>
  </si>
  <si>
    <t>MENS DBLS 501</t>
  </si>
  <si>
    <t>2ND</t>
  </si>
  <si>
    <t>BS 36 REGIONAL AZ</t>
  </si>
  <si>
    <t>AMMERMAN</t>
  </si>
  <si>
    <t>JASON</t>
  </si>
  <si>
    <t>ANKENY</t>
  </si>
  <si>
    <t>IA</t>
  </si>
  <si>
    <t>3RD</t>
  </si>
  <si>
    <t>BS 36 REGIONAL NE</t>
  </si>
  <si>
    <t>Ancar</t>
  </si>
  <si>
    <t>Joshua</t>
  </si>
  <si>
    <t>Van Cleave</t>
  </si>
  <si>
    <t>MS</t>
  </si>
  <si>
    <t>1st</t>
  </si>
  <si>
    <t>ANDERSON</t>
  </si>
  <si>
    <t>CHARLES</t>
  </si>
  <si>
    <t>ROLETTE</t>
  </si>
  <si>
    <t>SD</t>
  </si>
  <si>
    <t>PRO AA DBLS 501</t>
  </si>
  <si>
    <t>4TH</t>
  </si>
  <si>
    <t>BULLSHOOTER 36 FINALS</t>
  </si>
  <si>
    <t>Anderson</t>
  </si>
  <si>
    <t>Jeremy</t>
  </si>
  <si>
    <t>Merrill</t>
  </si>
  <si>
    <t>WI</t>
  </si>
  <si>
    <t>PA BS 38</t>
  </si>
  <si>
    <t>Anthony</t>
  </si>
  <si>
    <t>Andre</t>
  </si>
  <si>
    <t>Tacoma</t>
  </si>
  <si>
    <t>WA</t>
  </si>
  <si>
    <t>WA BS 38</t>
  </si>
  <si>
    <t>ARANA</t>
  </si>
  <si>
    <t>JONATHAN</t>
  </si>
  <si>
    <t>WATERBURY</t>
  </si>
  <si>
    <t>CT</t>
  </si>
  <si>
    <t>MENS DBLS CRICKET</t>
  </si>
  <si>
    <t>ARBLE</t>
  </si>
  <si>
    <t>ERIE</t>
  </si>
  <si>
    <t>BS 36 REGIONAL NY</t>
  </si>
  <si>
    <t>Arpin</t>
  </si>
  <si>
    <t>Matthew</t>
  </si>
  <si>
    <t>ADO List 2024</t>
  </si>
  <si>
    <t>Asato</t>
  </si>
  <si>
    <t>Brandon</t>
  </si>
  <si>
    <t>Jacksonville</t>
  </si>
  <si>
    <t>TopGun A/AA Triples</t>
  </si>
  <si>
    <t>BullShooter 34 Finals</t>
  </si>
  <si>
    <t>Asenavage</t>
  </si>
  <si>
    <t>AL</t>
  </si>
  <si>
    <t>Grand Junction</t>
  </si>
  <si>
    <t>CO</t>
  </si>
  <si>
    <t>AZ BS 38</t>
  </si>
  <si>
    <t>ASHER</t>
  </si>
  <si>
    <t>PAUL</t>
  </si>
  <si>
    <t>CALLAHAN</t>
  </si>
  <si>
    <t>BS 36 REGIONAL SC</t>
  </si>
  <si>
    <t>ATAYA</t>
  </si>
  <si>
    <t>PATRICK</t>
  </si>
  <si>
    <t>COPLEY</t>
  </si>
  <si>
    <t>OH</t>
  </si>
  <si>
    <t>Pro 501 Dbls</t>
  </si>
  <si>
    <t>MI BS 38</t>
  </si>
  <si>
    <t>BAGGISH</t>
  </si>
  <si>
    <t>DANIEL</t>
  </si>
  <si>
    <t>WINTERHAVEN</t>
  </si>
  <si>
    <t>WDF List 2024</t>
  </si>
  <si>
    <t>Bagley</t>
  </si>
  <si>
    <t>Adairsville</t>
  </si>
  <si>
    <t>GA</t>
  </si>
  <si>
    <t>Pro Singles</t>
  </si>
  <si>
    <t>TN BS 38</t>
  </si>
  <si>
    <t>Bair</t>
  </si>
  <si>
    <t>Barry</t>
  </si>
  <si>
    <t>Norway</t>
  </si>
  <si>
    <t>SC</t>
  </si>
  <si>
    <t>Pro/Am</t>
  </si>
  <si>
    <t>SC BS 38</t>
  </si>
  <si>
    <t>Baker</t>
  </si>
  <si>
    <t>Bryan</t>
  </si>
  <si>
    <t>Men 501 Dbls</t>
  </si>
  <si>
    <t>William</t>
  </si>
  <si>
    <t>Naalehu</t>
  </si>
  <si>
    <t>HI</t>
  </si>
  <si>
    <t>Brent</t>
  </si>
  <si>
    <t>St Peters</t>
  </si>
  <si>
    <t>MO</t>
  </si>
  <si>
    <t>NE BS 38</t>
  </si>
  <si>
    <t>Ball</t>
  </si>
  <si>
    <t>Justin</t>
  </si>
  <si>
    <t>Cincinatti</t>
  </si>
  <si>
    <t>OH BS 38</t>
  </si>
  <si>
    <t>Baran</t>
  </si>
  <si>
    <t>Vincent</t>
  </si>
  <si>
    <t>Beaver Meadows</t>
  </si>
  <si>
    <t>FL BS 38</t>
  </si>
  <si>
    <t>BARLOW</t>
  </si>
  <si>
    <t>JAYSON</t>
  </si>
  <si>
    <t>STRATFORD</t>
  </si>
  <si>
    <t>ONT</t>
  </si>
  <si>
    <t>CANADA</t>
  </si>
  <si>
    <t>Pro AA 501 Dbls</t>
  </si>
  <si>
    <t>Barnes</t>
  </si>
  <si>
    <t>Kirk-Bandit</t>
  </si>
  <si>
    <t>Mixed Dbls Cricket</t>
  </si>
  <si>
    <t>BARNETT</t>
  </si>
  <si>
    <t>SCOTT</t>
  </si>
  <si>
    <t>SACRAMENTO</t>
  </si>
  <si>
    <t>CA</t>
  </si>
  <si>
    <t>BS 37 CA</t>
  </si>
  <si>
    <t>Avery</t>
  </si>
  <si>
    <t>ADO Top 25 2020</t>
  </si>
  <si>
    <t>Bauer</t>
  </si>
  <si>
    <t>Jonny</t>
  </si>
  <si>
    <t>Wallace</t>
  </si>
  <si>
    <t>ID</t>
  </si>
  <si>
    <t>Beard</t>
  </si>
  <si>
    <t>Christian</t>
  </si>
  <si>
    <t>Yuma</t>
  </si>
  <si>
    <t>Pro Cricket Dbls</t>
  </si>
  <si>
    <t>BEAVERS</t>
  </si>
  <si>
    <t>GRANT</t>
  </si>
  <si>
    <t>YORKTOWN</t>
  </si>
  <si>
    <t>VA</t>
  </si>
  <si>
    <t>MEN SINGLES</t>
  </si>
  <si>
    <t>BS 37 SC</t>
  </si>
  <si>
    <t>BECKER</t>
  </si>
  <si>
    <t>CHAD</t>
  </si>
  <si>
    <t>MANSFIELD</t>
  </si>
  <si>
    <t>BS 37 PA</t>
  </si>
  <si>
    <t>BEECROFT</t>
  </si>
  <si>
    <t>JOEY</t>
  </si>
  <si>
    <t>BLOOMINGDALE</t>
  </si>
  <si>
    <t>PRO CRICKET DBLS</t>
  </si>
  <si>
    <t>Bella</t>
  </si>
  <si>
    <t>Matt</t>
  </si>
  <si>
    <t>TopGun Mixed</t>
  </si>
  <si>
    <t>Bengston</t>
  </si>
  <si>
    <t>Lee</t>
  </si>
  <si>
    <t>Marion</t>
  </si>
  <si>
    <t>MT</t>
  </si>
  <si>
    <t>Bennet</t>
  </si>
  <si>
    <t>Taylor</t>
  </si>
  <si>
    <t>Rochester</t>
  </si>
  <si>
    <t>BENNINGTON</t>
  </si>
  <si>
    <t>SEAN</t>
  </si>
  <si>
    <t>ORANGE PARK</t>
  </si>
  <si>
    <t>BS 37 NE</t>
  </si>
  <si>
    <t>BENSON</t>
  </si>
  <si>
    <t>DOMINIC</t>
  </si>
  <si>
    <t>HARBOR CITY</t>
  </si>
  <si>
    <t>Bernard</t>
  </si>
  <si>
    <t>Robert</t>
  </si>
  <si>
    <t>Loves Park</t>
  </si>
  <si>
    <t>Pro 501 Singles</t>
  </si>
  <si>
    <t>Bigham</t>
  </si>
  <si>
    <t>POCAHOTAS</t>
  </si>
  <si>
    <t>WV</t>
  </si>
  <si>
    <t>BILGER</t>
  </si>
  <si>
    <t>LEVI</t>
  </si>
  <si>
    <t>MCVEYTOWN</t>
  </si>
  <si>
    <t>BLACKBURN</t>
  </si>
  <si>
    <t>MATHEW</t>
  </si>
  <si>
    <t>FOLLANSBEE</t>
  </si>
  <si>
    <t>BLAIS</t>
  </si>
  <si>
    <t>JAMES</t>
  </si>
  <si>
    <t>MEN 501 DBLS</t>
  </si>
  <si>
    <t>BS 37 NY</t>
  </si>
  <si>
    <t>BLEA</t>
  </si>
  <si>
    <t>RUBEN</t>
  </si>
  <si>
    <t>THORTON</t>
  </si>
  <si>
    <t>MENS PRO DBLS 501</t>
  </si>
  <si>
    <t>BS 36 REGIONAL WY</t>
  </si>
  <si>
    <t>BLUHM</t>
  </si>
  <si>
    <t>GARY</t>
  </si>
  <si>
    <t>BURLINGTON</t>
  </si>
  <si>
    <t>TOPGUN NONPRO TRIPLES</t>
  </si>
  <si>
    <t>BOBZIEN</t>
  </si>
  <si>
    <t>ARIC</t>
  </si>
  <si>
    <t>JANESVILLE</t>
  </si>
  <si>
    <t>Boehm</t>
  </si>
  <si>
    <t>Doug</t>
  </si>
  <si>
    <t>Snyder</t>
  </si>
  <si>
    <t>Bond</t>
  </si>
  <si>
    <t>Mark</t>
  </si>
  <si>
    <t>Kingwood</t>
  </si>
  <si>
    <t>Bonk</t>
  </si>
  <si>
    <t>Lenny</t>
  </si>
  <si>
    <t>Mishawaka</t>
  </si>
  <si>
    <t>IN</t>
  </si>
  <si>
    <t>Known Pro</t>
  </si>
  <si>
    <t>BOONE</t>
  </si>
  <si>
    <t>MOORE</t>
  </si>
  <si>
    <t>OK</t>
  </si>
  <si>
    <t>BS 37 TX</t>
  </si>
  <si>
    <t>Booth</t>
  </si>
  <si>
    <t>Brauclynn</t>
  </si>
  <si>
    <t>Albion</t>
  </si>
  <si>
    <t>MI</t>
  </si>
  <si>
    <t>BORLAND</t>
  </si>
  <si>
    <t>NATE</t>
  </si>
  <si>
    <t>EVANSVILLE</t>
  </si>
  <si>
    <t>BS 37 IN</t>
  </si>
  <si>
    <t>BOSWELL</t>
  </si>
  <si>
    <t>ERIC</t>
  </si>
  <si>
    <t>WINTER HAVEN</t>
  </si>
  <si>
    <t>BOWMAN</t>
  </si>
  <si>
    <t>BRENT</t>
  </si>
  <si>
    <t>BS 36 REGIONAL PA</t>
  </si>
  <si>
    <t>BRAND</t>
  </si>
  <si>
    <t>JOSH</t>
  </si>
  <si>
    <t>HICKORY HILLS</t>
  </si>
  <si>
    <t>MENS SINGLES CRICKET</t>
  </si>
  <si>
    <t>BS 36 REGIONAL IN</t>
  </si>
  <si>
    <t>Jason</t>
  </si>
  <si>
    <t>BRASWELL</t>
  </si>
  <si>
    <t>AUSTIN</t>
  </si>
  <si>
    <t>APOPKA</t>
  </si>
  <si>
    <t>BRAUGHLER</t>
  </si>
  <si>
    <t>ROBERT</t>
  </si>
  <si>
    <t>BUFFALO</t>
  </si>
  <si>
    <t>BRENNAN</t>
  </si>
  <si>
    <t>DARYL</t>
  </si>
  <si>
    <t>CASTLE PINES</t>
  </si>
  <si>
    <t>MIXED CRICKET</t>
  </si>
  <si>
    <t>Brenneman</t>
  </si>
  <si>
    <t>Shawn</t>
  </si>
  <si>
    <t>Canada</t>
  </si>
  <si>
    <t>UNK</t>
  </si>
  <si>
    <t>NAPDA 2018</t>
  </si>
  <si>
    <t>22nd</t>
  </si>
  <si>
    <t>BREWER</t>
  </si>
  <si>
    <t>MIKE</t>
  </si>
  <si>
    <t>OLATHE</t>
  </si>
  <si>
    <t>KS</t>
  </si>
  <si>
    <t>Brewster</t>
  </si>
  <si>
    <t>Travis</t>
  </si>
  <si>
    <t>Wooster</t>
  </si>
  <si>
    <t>BRICE</t>
  </si>
  <si>
    <t>BRAD</t>
  </si>
  <si>
    <t>LA PORTE</t>
  </si>
  <si>
    <t>BS 36 REGIONAL TX</t>
  </si>
  <si>
    <t>BROGAN</t>
  </si>
  <si>
    <t>RYAN</t>
  </si>
  <si>
    <t>CLEARWATER</t>
  </si>
  <si>
    <t>Brooks</t>
  </si>
  <si>
    <t>Dan</t>
  </si>
  <si>
    <t>Boise</t>
  </si>
  <si>
    <t>Jacob</t>
  </si>
  <si>
    <t>Loveland</t>
  </si>
  <si>
    <t>Gary</t>
  </si>
  <si>
    <t>CASPER</t>
  </si>
  <si>
    <t>WY</t>
  </si>
  <si>
    <t>Broussard</t>
  </si>
  <si>
    <t>Brown</t>
  </si>
  <si>
    <t>Daniel</t>
  </si>
  <si>
    <t>Wheeling</t>
  </si>
  <si>
    <t>BROWN</t>
  </si>
  <si>
    <t>STRONGHURST</t>
  </si>
  <si>
    <t>MEN DBLS 501</t>
  </si>
  <si>
    <t>NE REGIONAL BS 38</t>
  </si>
  <si>
    <t>James</t>
  </si>
  <si>
    <t>Stronghurst</t>
  </si>
  <si>
    <t>BRANDON</t>
  </si>
  <si>
    <t>SAN ANTONIO</t>
  </si>
  <si>
    <t>MASON</t>
  </si>
  <si>
    <t>CROWLEY</t>
  </si>
  <si>
    <t>Brunello</t>
  </si>
  <si>
    <t>Cody</t>
  </si>
  <si>
    <t>Kenosha</t>
  </si>
  <si>
    <t>Pro Cricket Doubles</t>
  </si>
  <si>
    <t>BUBOLTZ</t>
  </si>
  <si>
    <t>TREVOR</t>
  </si>
  <si>
    <t>TINLEY PARK</t>
  </si>
  <si>
    <t>MIXED 701 TRIPLES</t>
  </si>
  <si>
    <t>BUCHANAN</t>
  </si>
  <si>
    <t>RICHARD</t>
  </si>
  <si>
    <t>BUCK</t>
  </si>
  <si>
    <t>JESSE</t>
  </si>
  <si>
    <t>SPRINGFIELD</t>
  </si>
  <si>
    <t>BS 37 OH</t>
  </si>
  <si>
    <t>Buckley</t>
  </si>
  <si>
    <t>Scott</t>
  </si>
  <si>
    <t>Urbana</t>
  </si>
  <si>
    <t>Bugg</t>
  </si>
  <si>
    <t>Alan</t>
  </si>
  <si>
    <t>Dalton</t>
  </si>
  <si>
    <t>BUIE</t>
  </si>
  <si>
    <t>ANTHONY</t>
  </si>
  <si>
    <t>Buntz</t>
  </si>
  <si>
    <t>Stowe</t>
  </si>
  <si>
    <t>Burd</t>
  </si>
  <si>
    <t>Battle Creek</t>
  </si>
  <si>
    <t>BURDETT</t>
  </si>
  <si>
    <t>JUSTIN</t>
  </si>
  <si>
    <t>ROCHESTER</t>
  </si>
  <si>
    <t>Burger</t>
  </si>
  <si>
    <t>Jeremiah</t>
  </si>
  <si>
    <t>White Lake</t>
  </si>
  <si>
    <t>Mixed Trips</t>
  </si>
  <si>
    <t>Burk</t>
  </si>
  <si>
    <t>Burnett</t>
  </si>
  <si>
    <t>Sacramento</t>
  </si>
  <si>
    <t>CA BS 37</t>
  </si>
  <si>
    <t>BURROWS</t>
  </si>
  <si>
    <t>TYLER</t>
  </si>
  <si>
    <t>DES MOINES</t>
  </si>
  <si>
    <t>BUTLER</t>
  </si>
  <si>
    <t>LARRY</t>
  </si>
  <si>
    <t>FAIRBORN</t>
  </si>
  <si>
    <t>Pro AA Cricket Dbls</t>
  </si>
  <si>
    <t>BYRNE</t>
  </si>
  <si>
    <t>JEREMY</t>
  </si>
  <si>
    <t>RACINE</t>
  </si>
  <si>
    <t>4th</t>
  </si>
  <si>
    <t>CADE</t>
  </si>
  <si>
    <t>SHANE</t>
  </si>
  <si>
    <t>LOGAN</t>
  </si>
  <si>
    <t>CALFISCH</t>
  </si>
  <si>
    <t>BARABOO</t>
  </si>
  <si>
    <t>CAMERON</t>
  </si>
  <si>
    <t>DAVID</t>
  </si>
  <si>
    <t>HALIFAX</t>
  </si>
  <si>
    <t>NOVA SCOTIA</t>
  </si>
  <si>
    <t>Pro Luck Cricket</t>
  </si>
  <si>
    <t>Campbell</t>
  </si>
  <si>
    <t>Campos</t>
  </si>
  <si>
    <t>Jesse</t>
  </si>
  <si>
    <t>Rockford</t>
  </si>
  <si>
    <t>Carlson</t>
  </si>
  <si>
    <t>Chris</t>
  </si>
  <si>
    <t>Carpenter</t>
  </si>
  <si>
    <t>Jeffery</t>
  </si>
  <si>
    <t>Ashland</t>
  </si>
  <si>
    <t>Carroll</t>
  </si>
  <si>
    <t>David</t>
  </si>
  <si>
    <t>CARTER</t>
  </si>
  <si>
    <t>MICHAEL</t>
  </si>
  <si>
    <t>TOLLESON</t>
  </si>
  <si>
    <t>Carter</t>
  </si>
  <si>
    <t>Roger</t>
  </si>
  <si>
    <t>Auburn</t>
  </si>
  <si>
    <t>ADO 2014</t>
  </si>
  <si>
    <t>49th</t>
  </si>
  <si>
    <t>CATALANO</t>
  </si>
  <si>
    <t>CERVELLI</t>
  </si>
  <si>
    <t>TAYLOR</t>
  </si>
  <si>
    <t>CHAMPAGNE</t>
  </si>
  <si>
    <t>JACK</t>
  </si>
  <si>
    <t>LAWTON</t>
  </si>
  <si>
    <t>CHANEY</t>
  </si>
  <si>
    <t>JOE</t>
  </si>
  <si>
    <t>HARRISON</t>
  </si>
  <si>
    <t>TN</t>
  </si>
  <si>
    <t>Chavez</t>
  </si>
  <si>
    <t>Ralph</t>
  </si>
  <si>
    <t>Corona</t>
  </si>
  <si>
    <t>CHRISMAN</t>
  </si>
  <si>
    <t>JORDAN</t>
  </si>
  <si>
    <t>Citizen</t>
  </si>
  <si>
    <t>Christopher</t>
  </si>
  <si>
    <t>Houston</t>
  </si>
  <si>
    <t>Clark</t>
  </si>
  <si>
    <t>Grant</t>
  </si>
  <si>
    <t>Grove City</t>
  </si>
  <si>
    <t>Clauwers</t>
  </si>
  <si>
    <t>Alain</t>
  </si>
  <si>
    <t>CLINE</t>
  </si>
  <si>
    <t>MATTHEW</t>
  </si>
  <si>
    <t>CHEEKTOWAGA</t>
  </si>
  <si>
    <t>COFFIE</t>
  </si>
  <si>
    <t>THEODORE</t>
  </si>
  <si>
    <t>BLACK RIVER</t>
  </si>
  <si>
    <t>COHEA</t>
  </si>
  <si>
    <t>GRAND PRAIRIE</t>
  </si>
  <si>
    <t>COHELEY</t>
  </si>
  <si>
    <t>KYLE</t>
  </si>
  <si>
    <t>HUDSON</t>
  </si>
  <si>
    <t>Cohey</t>
  </si>
  <si>
    <t>Jeff</t>
  </si>
  <si>
    <t>3-4th</t>
  </si>
  <si>
    <t>Cole</t>
  </si>
  <si>
    <t>Patrick</t>
  </si>
  <si>
    <t>Bradenton</t>
  </si>
  <si>
    <t>COLE</t>
  </si>
  <si>
    <t>GARION</t>
  </si>
  <si>
    <t>CHILLICOTHE</t>
  </si>
  <si>
    <t>MEN'S SINGLES 501</t>
  </si>
  <si>
    <t>RONNIE</t>
  </si>
  <si>
    <t>MYRTLE BEACH</t>
  </si>
  <si>
    <t>MEN'S DBLS 501</t>
  </si>
  <si>
    <t>COLEMAN</t>
  </si>
  <si>
    <t>FEDD</t>
  </si>
  <si>
    <t>FORT MOHAVE</t>
  </si>
  <si>
    <t>Colston</t>
  </si>
  <si>
    <t>Southside</t>
  </si>
  <si>
    <t>Nathaniel</t>
  </si>
  <si>
    <t>Cedar Bluff</t>
  </si>
  <si>
    <t>COMPEAN</t>
  </si>
  <si>
    <t>JOSE</t>
  </si>
  <si>
    <t>RANDOLPH</t>
  </si>
  <si>
    <t>Confer</t>
  </si>
  <si>
    <t>Franklin</t>
  </si>
  <si>
    <t>Connell</t>
  </si>
  <si>
    <t>Liverpool</t>
  </si>
  <si>
    <t>Pro 501 Doubles</t>
  </si>
  <si>
    <t>N. Syracuse</t>
  </si>
  <si>
    <t>Cooper</t>
  </si>
  <si>
    <t>Nick</t>
  </si>
  <si>
    <t>Las Vegas</t>
  </si>
  <si>
    <t>Ryne</t>
  </si>
  <si>
    <t>Kingman</t>
  </si>
  <si>
    <t>CORTEZ</t>
  </si>
  <si>
    <t>FLORESVILLE</t>
  </si>
  <si>
    <t>MENS PRO SINGLES CRICKET</t>
  </si>
  <si>
    <t>COTE-ROBERGE</t>
  </si>
  <si>
    <t>Cottrell</t>
  </si>
  <si>
    <t>Bruce</t>
  </si>
  <si>
    <t>Pittsburgh</t>
  </si>
  <si>
    <t>Crescini</t>
  </si>
  <si>
    <t>Josh</t>
  </si>
  <si>
    <t>Cross</t>
  </si>
  <si>
    <t>Jordan</t>
  </si>
  <si>
    <t>Fairfield</t>
  </si>
  <si>
    <t>CRYSTAL</t>
  </si>
  <si>
    <t>MARK</t>
  </si>
  <si>
    <t>LAFEYETTE</t>
  </si>
  <si>
    <t>Curren</t>
  </si>
  <si>
    <t>Charles</t>
  </si>
  <si>
    <t>Ft Collins</t>
  </si>
  <si>
    <t>CURRY</t>
  </si>
  <si>
    <t>LEONARD</t>
  </si>
  <si>
    <t>Curtin</t>
  </si>
  <si>
    <t>Tom</t>
  </si>
  <si>
    <t>Daigneault</t>
  </si>
  <si>
    <t>Terry</t>
  </si>
  <si>
    <t>St Louis</t>
  </si>
  <si>
    <t>Damore</t>
  </si>
  <si>
    <t>Jim</t>
  </si>
  <si>
    <t>Palatine</t>
  </si>
  <si>
    <t>Pro Doubles</t>
  </si>
  <si>
    <t>DANIELS</t>
  </si>
  <si>
    <t>GEORGE</t>
  </si>
  <si>
    <t>LATONIA</t>
  </si>
  <si>
    <t>KY</t>
  </si>
  <si>
    <t>Davey</t>
  </si>
  <si>
    <t>Tucker</t>
  </si>
  <si>
    <t>Joseph</t>
  </si>
  <si>
    <t>DAVIDSON</t>
  </si>
  <si>
    <t>INDY</t>
  </si>
  <si>
    <t>Davis</t>
  </si>
  <si>
    <t>Brett</t>
  </si>
  <si>
    <t>Parrish</t>
  </si>
  <si>
    <t>PRO DBLS 501</t>
  </si>
  <si>
    <t>Tate</t>
  </si>
  <si>
    <t>Millington</t>
  </si>
  <si>
    <t>Donnie</t>
  </si>
  <si>
    <t>JT</t>
  </si>
  <si>
    <t>Springfield</t>
  </si>
  <si>
    <t>Mix Cricket Dbls</t>
  </si>
  <si>
    <t>AJ</t>
  </si>
  <si>
    <t>Punta Gorda</t>
  </si>
  <si>
    <t>De Veyra</t>
  </si>
  <si>
    <t>Ethan</t>
  </si>
  <si>
    <t>Dees Jr.</t>
  </si>
  <si>
    <t>Bobby</t>
  </si>
  <si>
    <t>Millstadt</t>
  </si>
  <si>
    <t>MEN SNG CRICKET</t>
  </si>
  <si>
    <t>DELFINO</t>
  </si>
  <si>
    <t>CONWAY</t>
  </si>
  <si>
    <t>PRO SINGLES</t>
  </si>
  <si>
    <t>Dement</t>
  </si>
  <si>
    <t>Rich</t>
  </si>
  <si>
    <t>Janesville</t>
  </si>
  <si>
    <t>Pro Mens Doubles</t>
  </si>
  <si>
    <t>Dennis</t>
  </si>
  <si>
    <t>Brian</t>
  </si>
  <si>
    <t>St Cloud</t>
  </si>
  <si>
    <t>Dennison</t>
  </si>
  <si>
    <t>Dersch</t>
  </si>
  <si>
    <t>Benjamin</t>
  </si>
  <si>
    <t>DIETRICH</t>
  </si>
  <si>
    <t>ANDOVER</t>
  </si>
  <si>
    <t>DIGIOSIA JR</t>
  </si>
  <si>
    <t>SAM</t>
  </si>
  <si>
    <t>BIRDSBORO</t>
  </si>
  <si>
    <t>Dixon</t>
  </si>
  <si>
    <t>Spring Valley</t>
  </si>
  <si>
    <t>DOBSON</t>
  </si>
  <si>
    <t>NOCONA</t>
  </si>
  <si>
    <t>Dockemeyer</t>
  </si>
  <si>
    <t>Darren</t>
  </si>
  <si>
    <t>Mens 501 Dbls</t>
  </si>
  <si>
    <t>DONAVAN</t>
  </si>
  <si>
    <t>MELBOURNE</t>
  </si>
  <si>
    <t>Dotson</t>
  </si>
  <si>
    <t>Morgan</t>
  </si>
  <si>
    <t>Doyle</t>
  </si>
  <si>
    <t>Kenny</t>
  </si>
  <si>
    <t>Altamonte Springs</t>
  </si>
  <si>
    <t>DRAGER</t>
  </si>
  <si>
    <t>CODY</t>
  </si>
  <si>
    <t>MARKESAN</t>
  </si>
  <si>
    <t>MIXED DBLS CRICKET</t>
  </si>
  <si>
    <t>DREHER</t>
  </si>
  <si>
    <t>SCHUYLKILL HAVEN</t>
  </si>
  <si>
    <t>Drion</t>
  </si>
  <si>
    <t>Jean Pierre</t>
  </si>
  <si>
    <t>Belgium</t>
  </si>
  <si>
    <t>DUCARME</t>
  </si>
  <si>
    <t>DENNIS</t>
  </si>
  <si>
    <t>SCOTTDALE</t>
  </si>
  <si>
    <t>Duke</t>
  </si>
  <si>
    <t>OKC</t>
  </si>
  <si>
    <t>Dunagan</t>
  </si>
  <si>
    <t>Tolleson</t>
  </si>
  <si>
    <t>DUNAWAY</t>
  </si>
  <si>
    <t>OMAHA</t>
  </si>
  <si>
    <t>NE</t>
  </si>
  <si>
    <t>DURKEE</t>
  </si>
  <si>
    <t>STEVEN</t>
  </si>
  <si>
    <t>YUKON</t>
  </si>
  <si>
    <t>Dycus</t>
  </si>
  <si>
    <t>Crystal Lake</t>
  </si>
  <si>
    <t>Edwards</t>
  </si>
  <si>
    <t>John</t>
  </si>
  <si>
    <t>Correctionville</t>
  </si>
  <si>
    <t>EDWARDS</t>
  </si>
  <si>
    <t>EISNER</t>
  </si>
  <si>
    <t>TIMOTHY</t>
  </si>
  <si>
    <t>WHITE WATER</t>
  </si>
  <si>
    <t>ELDER</t>
  </si>
  <si>
    <t>CRAIG</t>
  </si>
  <si>
    <t>ELLEDGE</t>
  </si>
  <si>
    <t>HOUSTON</t>
  </si>
  <si>
    <t>Elliott</t>
  </si>
  <si>
    <t>Farwell</t>
  </si>
  <si>
    <t>Engelman</t>
  </si>
  <si>
    <t>Troy</t>
  </si>
  <si>
    <t>Kettering</t>
  </si>
  <si>
    <t>Ervin</t>
  </si>
  <si>
    <t>Dakota</t>
  </si>
  <si>
    <t>Spokane</t>
  </si>
  <si>
    <t>ESQUIBEL</t>
  </si>
  <si>
    <t>BROWNSVILLE</t>
  </si>
  <si>
    <t>Evans</t>
  </si>
  <si>
    <t>Davin</t>
  </si>
  <si>
    <t>Greeleyville</t>
  </si>
  <si>
    <t>FACEY</t>
  </si>
  <si>
    <t>RICHMAN</t>
  </si>
  <si>
    <t>Fatum</t>
  </si>
  <si>
    <t>Dave</t>
  </si>
  <si>
    <t>Mesa</t>
  </si>
  <si>
    <t>Fawcett</t>
  </si>
  <si>
    <t>Burlington</t>
  </si>
  <si>
    <t>Fedewa</t>
  </si>
  <si>
    <t>Trever</t>
  </si>
  <si>
    <t>Lake Isabella</t>
  </si>
  <si>
    <t>Feko</t>
  </si>
  <si>
    <t>Russell</t>
  </si>
  <si>
    <t>Inkster</t>
  </si>
  <si>
    <t>FERN</t>
  </si>
  <si>
    <t>RANDY</t>
  </si>
  <si>
    <t>LAPORTE</t>
  </si>
  <si>
    <t>TopGun Pro/AA Singles</t>
  </si>
  <si>
    <t>Fernandez Carballo</t>
  </si>
  <si>
    <t>Ricardo</t>
  </si>
  <si>
    <t>Spain</t>
  </si>
  <si>
    <t>Fernando</t>
  </si>
  <si>
    <t>Junlan</t>
  </si>
  <si>
    <t>Portsmouth</t>
  </si>
  <si>
    <t>Randy</t>
  </si>
  <si>
    <t>LaPorte</t>
  </si>
  <si>
    <t>Ferrell</t>
  </si>
  <si>
    <t>Ryan</t>
  </si>
  <si>
    <t>Ferrian</t>
  </si>
  <si>
    <t>FIELY</t>
  </si>
  <si>
    <t>MACKENZIE</t>
  </si>
  <si>
    <t>WHITESTOWN</t>
  </si>
  <si>
    <t>Fitzsimmons</t>
  </si>
  <si>
    <t>FLORIAN</t>
  </si>
  <si>
    <t>GINO</t>
  </si>
  <si>
    <t>MARIETTA</t>
  </si>
  <si>
    <t>FOIST</t>
  </si>
  <si>
    <t>SHAWN</t>
  </si>
  <si>
    <t>OZARK</t>
  </si>
  <si>
    <t>Foran</t>
  </si>
  <si>
    <t>Foreman</t>
  </si>
  <si>
    <t>Jon</t>
  </si>
  <si>
    <t>FORT WORTH</t>
  </si>
  <si>
    <t>PRO DBLS CRICKET</t>
  </si>
  <si>
    <t>Foti</t>
  </si>
  <si>
    <t>Ontario</t>
  </si>
  <si>
    <t>FOUNTAINE</t>
  </si>
  <si>
    <t>GREGG</t>
  </si>
  <si>
    <t>OREGON</t>
  </si>
  <si>
    <t>TOP GUN TRIPS</t>
  </si>
  <si>
    <t>FOWLER</t>
  </si>
  <si>
    <t>ST LOUIS</t>
  </si>
  <si>
    <t>ADO Top 20 2021</t>
  </si>
  <si>
    <t>FREDERICK</t>
  </si>
  <si>
    <t>JOSEPH</t>
  </si>
  <si>
    <t>WEST CAHZY</t>
  </si>
  <si>
    <t>MIXED TRIPLE 701</t>
  </si>
  <si>
    <t>FREEMAN</t>
  </si>
  <si>
    <t>BOBBY</t>
  </si>
  <si>
    <t>SUSSEX</t>
  </si>
  <si>
    <t>NJ</t>
  </si>
  <si>
    <t>Frizzell</t>
  </si>
  <si>
    <t>Finleyville</t>
  </si>
  <si>
    <t>FRY</t>
  </si>
  <si>
    <t>BRECK</t>
  </si>
  <si>
    <t>SHEFFIELD</t>
  </si>
  <si>
    <t>Gabriel</t>
  </si>
  <si>
    <t>Darryl</t>
  </si>
  <si>
    <t>Gage</t>
  </si>
  <si>
    <t>Glen</t>
  </si>
  <si>
    <t>Diamond</t>
  </si>
  <si>
    <t>Pro AA Doubles Cricket</t>
  </si>
  <si>
    <t>GALVAN</t>
  </si>
  <si>
    <t>ANDREW</t>
  </si>
  <si>
    <t>GARCIA</t>
  </si>
  <si>
    <t>DEL</t>
  </si>
  <si>
    <t>BARCELON</t>
  </si>
  <si>
    <t>SPAIN</t>
  </si>
  <si>
    <t>PRO AA 501 DBLS</t>
  </si>
  <si>
    <t>GARDNER</t>
  </si>
  <si>
    <t>THOMAS</t>
  </si>
  <si>
    <t>CATAWISSA</t>
  </si>
  <si>
    <t>Garn</t>
  </si>
  <si>
    <t>Jeromesville</t>
  </si>
  <si>
    <t>GARRELS</t>
  </si>
  <si>
    <t>GARTIN</t>
  </si>
  <si>
    <t>FORT DODGE</t>
  </si>
  <si>
    <t>Garza</t>
  </si>
  <si>
    <t>Brock</t>
  </si>
  <si>
    <t>Lawton</t>
  </si>
  <si>
    <t>Steve</t>
  </si>
  <si>
    <t>Selma</t>
  </si>
  <si>
    <t>GARZA</t>
  </si>
  <si>
    <t>GUADALUPE</t>
  </si>
  <si>
    <t>HOCKLEY</t>
  </si>
  <si>
    <t>GATES</t>
  </si>
  <si>
    <t>Pro AA 501 Singles</t>
  </si>
  <si>
    <t>Gebo</t>
  </si>
  <si>
    <t>Shaun</t>
  </si>
  <si>
    <t>CULLEN</t>
  </si>
  <si>
    <t>George</t>
  </si>
  <si>
    <t>Marcus</t>
  </si>
  <si>
    <t>GEORGESON</t>
  </si>
  <si>
    <t>NICHOLAS</t>
  </si>
  <si>
    <t>GURNEE</t>
  </si>
  <si>
    <t>TOPGUN PRO TRIPLES</t>
  </si>
  <si>
    <t>Gervais</t>
  </si>
  <si>
    <t>Superior</t>
  </si>
  <si>
    <t>Pro Mixed Cricket</t>
  </si>
  <si>
    <t>GETZ</t>
  </si>
  <si>
    <t>TRAVIS</t>
  </si>
  <si>
    <t>LEWISTOWN</t>
  </si>
  <si>
    <t>GIL</t>
  </si>
  <si>
    <t>Gilreath</t>
  </si>
  <si>
    <t>Rockmart</t>
  </si>
  <si>
    <t>GIORDANO</t>
  </si>
  <si>
    <t>GLANT</t>
  </si>
  <si>
    <t>JUNCTION CITY</t>
  </si>
  <si>
    <t>Goblet</t>
  </si>
  <si>
    <t>Samuel</t>
  </si>
  <si>
    <t>GODEK</t>
  </si>
  <si>
    <t>WEST MIFFLIN</t>
  </si>
  <si>
    <t>GOESSL</t>
  </si>
  <si>
    <t>KENNETH</t>
  </si>
  <si>
    <t>NORTH SYRACUSE</t>
  </si>
  <si>
    <t>GONZALEZ</t>
  </si>
  <si>
    <t>KEVIN</t>
  </si>
  <si>
    <t>Goodman</t>
  </si>
  <si>
    <t>Karl</t>
  </si>
  <si>
    <t>Anthem</t>
  </si>
  <si>
    <t>Gore</t>
  </si>
  <si>
    <t>Lakeland</t>
  </si>
  <si>
    <t>GOTT</t>
  </si>
  <si>
    <t>PHOENIX</t>
  </si>
  <si>
    <t>GRAHM</t>
  </si>
  <si>
    <t>CADIZ</t>
  </si>
  <si>
    <t>Gray</t>
  </si>
  <si>
    <t>Phoenix</t>
  </si>
  <si>
    <t>Green</t>
  </si>
  <si>
    <t>Richard</t>
  </si>
  <si>
    <t>Englewood</t>
  </si>
  <si>
    <t>Isaac</t>
  </si>
  <si>
    <t>Chula Vista</t>
  </si>
  <si>
    <t>COUER D' LANE</t>
  </si>
  <si>
    <t>GOWRIE</t>
  </si>
  <si>
    <t>GREGORY</t>
  </si>
  <si>
    <t>PRO AA CRICKET DBLS</t>
  </si>
  <si>
    <t>Griffin</t>
  </si>
  <si>
    <t>Joel</t>
  </si>
  <si>
    <t>Oswego</t>
  </si>
  <si>
    <t>GRIFFITH</t>
  </si>
  <si>
    <t>POPLAR BLUFF</t>
  </si>
  <si>
    <t>Grimes</t>
  </si>
  <si>
    <t>Kevin</t>
  </si>
  <si>
    <t>Guevara</t>
  </si>
  <si>
    <t>Ramiro</t>
  </si>
  <si>
    <t>GUSTAFSON</t>
  </si>
  <si>
    <t>PEORIA</t>
  </si>
  <si>
    <t>Haag Jr.</t>
  </si>
  <si>
    <t>Thomas</t>
  </si>
  <si>
    <t>Hagenow</t>
  </si>
  <si>
    <t>La Porte</t>
  </si>
  <si>
    <t>Hall</t>
  </si>
  <si>
    <t>Brayden</t>
  </si>
  <si>
    <t>Thorold</t>
  </si>
  <si>
    <t>Orangeville</t>
  </si>
  <si>
    <t>HALL</t>
  </si>
  <si>
    <t>BRYCE</t>
  </si>
  <si>
    <t>HILLIARD</t>
  </si>
  <si>
    <t>Halley</t>
  </si>
  <si>
    <t>Brad</t>
  </si>
  <si>
    <t>HAM</t>
  </si>
  <si>
    <t>AARON</t>
  </si>
  <si>
    <t>CANANDAIGUA</t>
  </si>
  <si>
    <t>GRAND RAPIDS</t>
  </si>
  <si>
    <t>HAMMACK</t>
  </si>
  <si>
    <t>WAGGAMAN</t>
  </si>
  <si>
    <t>LA</t>
  </si>
  <si>
    <t>HANSEN</t>
  </si>
  <si>
    <t>IAN</t>
  </si>
  <si>
    <t>CAPE CORAL</t>
  </si>
  <si>
    <t>HANSON</t>
  </si>
  <si>
    <t>COLUMBUS</t>
  </si>
  <si>
    <t>Harder</t>
  </si>
  <si>
    <t>Joiley</t>
  </si>
  <si>
    <t>Fresno</t>
  </si>
  <si>
    <t>HARDWICK</t>
  </si>
  <si>
    <t>JOHNSTOWN</t>
  </si>
  <si>
    <t>Harris</t>
  </si>
  <si>
    <t>Jolen</t>
  </si>
  <si>
    <t>Harvey</t>
  </si>
  <si>
    <t>Wayne</t>
  </si>
  <si>
    <t>Horn Lake</t>
  </si>
  <si>
    <t>HAWKINS</t>
  </si>
  <si>
    <t>HAWKSWORTH</t>
  </si>
  <si>
    <t>DALTON</t>
  </si>
  <si>
    <t>Hayes</t>
  </si>
  <si>
    <t>Casey</t>
  </si>
  <si>
    <t>Mixed Triples 701</t>
  </si>
  <si>
    <t>Heckman</t>
  </si>
  <si>
    <t>Vacaville</t>
  </si>
  <si>
    <t>Hedrick</t>
  </si>
  <si>
    <t>Joe</t>
  </si>
  <si>
    <t>Loudinville</t>
  </si>
  <si>
    <t>HEDRICK</t>
  </si>
  <si>
    <t>MITCH</t>
  </si>
  <si>
    <t>PERRYSVILLE</t>
  </si>
  <si>
    <t>Helgeson</t>
  </si>
  <si>
    <t>Lane</t>
  </si>
  <si>
    <t>Muskego</t>
  </si>
  <si>
    <t>Top Gun Triples Pro/AA</t>
  </si>
  <si>
    <t>HELTON</t>
  </si>
  <si>
    <t>JEROME</t>
  </si>
  <si>
    <t>CAPE GIRARDEAU</t>
  </si>
  <si>
    <t>Hennings</t>
  </si>
  <si>
    <t>Steven</t>
  </si>
  <si>
    <t>Davenport</t>
  </si>
  <si>
    <t>HENRY</t>
  </si>
  <si>
    <t>JEROD</t>
  </si>
  <si>
    <t>POLO</t>
  </si>
  <si>
    <t>Pro/Pro AA Mix Cricket</t>
  </si>
  <si>
    <t>Hensley</t>
  </si>
  <si>
    <t>Gregory</t>
  </si>
  <si>
    <t>Tampa</t>
  </si>
  <si>
    <t>HENZE III</t>
  </si>
  <si>
    <t>RICH</t>
  </si>
  <si>
    <t>LITTLE FALLS</t>
  </si>
  <si>
    <t>MN</t>
  </si>
  <si>
    <t>HERCULES</t>
  </si>
  <si>
    <t>MCMECHEN</t>
  </si>
  <si>
    <t>HERMAN</t>
  </si>
  <si>
    <t>JOHN</t>
  </si>
  <si>
    <t>Herrera</t>
  </si>
  <si>
    <t>Rueben</t>
  </si>
  <si>
    <t>San Diego</t>
  </si>
  <si>
    <t>HETTENHOUSER</t>
  </si>
  <si>
    <t>MARBLE HILL</t>
  </si>
  <si>
    <t>Hewitt</t>
  </si>
  <si>
    <t>Pat</t>
  </si>
  <si>
    <t>Swansea</t>
  </si>
  <si>
    <t>Hicks</t>
  </si>
  <si>
    <t>Hossey</t>
  </si>
  <si>
    <t>Hilger</t>
  </si>
  <si>
    <t>Menomonee Falls</t>
  </si>
  <si>
    <t>Hill</t>
  </si>
  <si>
    <t>Eric</t>
  </si>
  <si>
    <t>Pinconning</t>
  </si>
  <si>
    <t>HILL</t>
  </si>
  <si>
    <t>OSHKOSH</t>
  </si>
  <si>
    <t>WINNEBAGO</t>
  </si>
  <si>
    <t>Hinkle</t>
  </si>
  <si>
    <t>Derek</t>
  </si>
  <si>
    <t>St Joseph</t>
  </si>
  <si>
    <t>HIRACHETA</t>
  </si>
  <si>
    <t>ROY</t>
  </si>
  <si>
    <t>WADDELL</t>
  </si>
  <si>
    <t>HOEM</t>
  </si>
  <si>
    <t>CHEYENNE</t>
  </si>
  <si>
    <t>HOINEY</t>
  </si>
  <si>
    <t>NORTH BEND</t>
  </si>
  <si>
    <t>HOLINDAY</t>
  </si>
  <si>
    <t>BRETT</t>
  </si>
  <si>
    <t>DULUTH</t>
  </si>
  <si>
    <t>HOLMES</t>
  </si>
  <si>
    <t>CAPE GIRARDEU</t>
  </si>
  <si>
    <t>Holmes</t>
  </si>
  <si>
    <t>Oshkosh</t>
  </si>
  <si>
    <t>HUMBLE</t>
  </si>
  <si>
    <t>HOLT</t>
  </si>
  <si>
    <t>DUSTIN</t>
  </si>
  <si>
    <t>Hook</t>
  </si>
  <si>
    <t>Stetson</t>
  </si>
  <si>
    <t>Moscow</t>
  </si>
  <si>
    <t>Hopkins</t>
  </si>
  <si>
    <t>Randolph</t>
  </si>
  <si>
    <t>HOSELTON</t>
  </si>
  <si>
    <t>KEITH</t>
  </si>
  <si>
    <t>CIRCLEVILLE</t>
  </si>
  <si>
    <t>HOUGH</t>
  </si>
  <si>
    <t>JIM</t>
  </si>
  <si>
    <t>KEYSTONE HEIGHTS</t>
  </si>
  <si>
    <t>HOWELL</t>
  </si>
  <si>
    <t>SAVANNA</t>
  </si>
  <si>
    <t>Howells</t>
  </si>
  <si>
    <t>Covington</t>
  </si>
  <si>
    <t>Hubbard</t>
  </si>
  <si>
    <t>Antioch</t>
  </si>
  <si>
    <t>HUGHART</t>
  </si>
  <si>
    <t>HUNNICUT</t>
  </si>
  <si>
    <t>SPLENDORA</t>
  </si>
  <si>
    <t>HUNTER</t>
  </si>
  <si>
    <t>DEVIN</t>
  </si>
  <si>
    <t>SIOUX FALLS</t>
  </si>
  <si>
    <t>AUBURNDALE</t>
  </si>
  <si>
    <t>ZACH</t>
  </si>
  <si>
    <t>RONALD</t>
  </si>
  <si>
    <t>MONTGOMERY</t>
  </si>
  <si>
    <t>Huskin</t>
  </si>
  <si>
    <t>Husman</t>
  </si>
  <si>
    <t>Puyallup</t>
  </si>
  <si>
    <t>WA REGIONAL BS 38</t>
  </si>
  <si>
    <t>HVAMSTAD</t>
  </si>
  <si>
    <t>CLEVELAND</t>
  </si>
  <si>
    <t>Jackson</t>
  </si>
  <si>
    <t>Ricky</t>
  </si>
  <si>
    <t>Hernando</t>
  </si>
  <si>
    <t>Jalbert</t>
  </si>
  <si>
    <t>Aaaron</t>
  </si>
  <si>
    <t>PIEDMONT</t>
  </si>
  <si>
    <t>Jamison</t>
  </si>
  <si>
    <t>Aaron</t>
  </si>
  <si>
    <t>El Cajon</t>
  </si>
  <si>
    <t>Jenkins</t>
  </si>
  <si>
    <t>Juneau</t>
  </si>
  <si>
    <t>Johnny Lee</t>
  </si>
  <si>
    <t>JENSEN</t>
  </si>
  <si>
    <t>COREY</t>
  </si>
  <si>
    <t>BOX ELDER</t>
  </si>
  <si>
    <t>Jinkinsen</t>
  </si>
  <si>
    <t>Donny</t>
  </si>
  <si>
    <t>Johnroe</t>
  </si>
  <si>
    <t>Oxford</t>
  </si>
  <si>
    <t>Johns</t>
  </si>
  <si>
    <t>Andrew</t>
  </si>
  <si>
    <t>Julietta</t>
  </si>
  <si>
    <t>Johnson</t>
  </si>
  <si>
    <t>TopGun Pro Mixed</t>
  </si>
  <si>
    <t>Odenville</t>
  </si>
  <si>
    <t>Shayne</t>
  </si>
  <si>
    <t>Osseo</t>
  </si>
  <si>
    <t>Canton</t>
  </si>
  <si>
    <t>Waupun</t>
  </si>
  <si>
    <t>JOHNSON</t>
  </si>
  <si>
    <t>BYRON</t>
  </si>
  <si>
    <t>KENOSHA</t>
  </si>
  <si>
    <t>PRO CRICK DBLS</t>
  </si>
  <si>
    <t>BS 37 WA</t>
  </si>
  <si>
    <t>Jones</t>
  </si>
  <si>
    <t>Jimmie</t>
  </si>
  <si>
    <t>JONES</t>
  </si>
  <si>
    <t>VINCE</t>
  </si>
  <si>
    <t>LEE</t>
  </si>
  <si>
    <t>GLENSHAW</t>
  </si>
  <si>
    <t>JORGE</t>
  </si>
  <si>
    <t>ROAMON</t>
  </si>
  <si>
    <t>JOYAL</t>
  </si>
  <si>
    <t>TED</t>
  </si>
  <si>
    <t>LITTLE RIVER</t>
  </si>
  <si>
    <t>Kee</t>
  </si>
  <si>
    <t>Kekic</t>
  </si>
  <si>
    <t>Zachery</t>
  </si>
  <si>
    <t>Keller</t>
  </si>
  <si>
    <t>Kelly</t>
  </si>
  <si>
    <t>Thornton</t>
  </si>
  <si>
    <t>Verbena</t>
  </si>
  <si>
    <t>KENT</t>
  </si>
  <si>
    <t>CORY</t>
  </si>
  <si>
    <t>Kern</t>
  </si>
  <si>
    <t>Kessler</t>
  </si>
  <si>
    <t>Carey</t>
  </si>
  <si>
    <t>Kidd</t>
  </si>
  <si>
    <t>KIELMAN</t>
  </si>
  <si>
    <t>JACKSONVILLE</t>
  </si>
  <si>
    <t>KIEPER</t>
  </si>
  <si>
    <t>PRO MEN SINGLES</t>
  </si>
  <si>
    <t>KING</t>
  </si>
  <si>
    <t>MILWAUKEE</t>
  </si>
  <si>
    <t>KINKENZELLER</t>
  </si>
  <si>
    <t>ERIK</t>
  </si>
  <si>
    <t>KIRBY</t>
  </si>
  <si>
    <t>Kirchner</t>
  </si>
  <si>
    <t>DL</t>
  </si>
  <si>
    <t>13th</t>
  </si>
  <si>
    <t>KIRCHNER</t>
  </si>
  <si>
    <t>KIRKENDALL</t>
  </si>
  <si>
    <t>JERMAINE</t>
  </si>
  <si>
    <t>LORAINE</t>
  </si>
  <si>
    <t>Kithi</t>
  </si>
  <si>
    <t>KLINEFELTER</t>
  </si>
  <si>
    <t>ADAM</t>
  </si>
  <si>
    <t>INDIANAPOLIS</t>
  </si>
  <si>
    <t>PRO SINGLES 501</t>
  </si>
  <si>
    <t>5TH</t>
  </si>
  <si>
    <t>KONCHALSKI</t>
  </si>
  <si>
    <t>TONY</t>
  </si>
  <si>
    <t>KORMICK</t>
  </si>
  <si>
    <t>GENARD</t>
  </si>
  <si>
    <t>Kransel</t>
  </si>
  <si>
    <t>Levi</t>
  </si>
  <si>
    <t>Krcmar</t>
  </si>
  <si>
    <t>Boris</t>
  </si>
  <si>
    <t>CROATIA</t>
  </si>
  <si>
    <t>TopGun Pro A/AA Singles</t>
  </si>
  <si>
    <t>KROH</t>
  </si>
  <si>
    <t>PINE GROVE</t>
  </si>
  <si>
    <t>Kuczynski</t>
  </si>
  <si>
    <t>Johnny K</t>
  </si>
  <si>
    <t>Zion Grove</t>
  </si>
  <si>
    <t>ADO 2013</t>
  </si>
  <si>
    <t>36th</t>
  </si>
  <si>
    <t>KUHLMAN</t>
  </si>
  <si>
    <t>SYCAMORE</t>
  </si>
  <si>
    <t>LACKEY</t>
  </si>
  <si>
    <t>JOHNNY</t>
  </si>
  <si>
    <t>TOMBALL</t>
  </si>
  <si>
    <t>LAMBERT</t>
  </si>
  <si>
    <t>WILLIAM</t>
  </si>
  <si>
    <t>PALM CITY</t>
  </si>
  <si>
    <t>LAMORA</t>
  </si>
  <si>
    <t>ZEPHYR HILLS</t>
  </si>
  <si>
    <t>Langendorf</t>
  </si>
  <si>
    <t>Maik</t>
  </si>
  <si>
    <t>Germany</t>
  </si>
  <si>
    <t>PDC Merit Ranking</t>
  </si>
  <si>
    <t>96th</t>
  </si>
  <si>
    <t>LANGLAIS</t>
  </si>
  <si>
    <t>LORNE</t>
  </si>
  <si>
    <t>SWANTON</t>
  </si>
  <si>
    <t>VT</t>
  </si>
  <si>
    <t>Langley</t>
  </si>
  <si>
    <t>Knoxville</t>
  </si>
  <si>
    <t>ADO 2021</t>
  </si>
  <si>
    <t>Lapine</t>
  </si>
  <si>
    <t>Skyler</t>
  </si>
  <si>
    <t>LAPINE</t>
  </si>
  <si>
    <t>FOND DU LAC</t>
  </si>
  <si>
    <t>TOPGUN MEN SINGLES</t>
  </si>
  <si>
    <t>Larscheidt</t>
  </si>
  <si>
    <t>West Allis</t>
  </si>
  <si>
    <t>LARSON</t>
  </si>
  <si>
    <t>LASSEY JR</t>
  </si>
  <si>
    <t>DONNIE</t>
  </si>
  <si>
    <t>NEW MARKET</t>
  </si>
  <si>
    <t>MENS SNG CRICKET</t>
  </si>
  <si>
    <t>AZ REGIONAL BS 38</t>
  </si>
  <si>
    <t>LAUBY JR</t>
  </si>
  <si>
    <t>TERRE HAUTE</t>
  </si>
  <si>
    <t>PRO AA MEN SINGLES</t>
  </si>
  <si>
    <t>Lauby Sr.</t>
  </si>
  <si>
    <t>Terre Haute</t>
  </si>
  <si>
    <t>24th</t>
  </si>
  <si>
    <t>LAVECK</t>
  </si>
  <si>
    <t>EDWARD</t>
  </si>
  <si>
    <t>LAVIGNE</t>
  </si>
  <si>
    <t>SACO</t>
  </si>
  <si>
    <t>ME</t>
  </si>
  <si>
    <t>MEN 501 SINGLES</t>
  </si>
  <si>
    <t>LAWRENCE</t>
  </si>
  <si>
    <t>BROC</t>
  </si>
  <si>
    <t>HANOVER</t>
  </si>
  <si>
    <t>NEW WINDSOR</t>
  </si>
  <si>
    <t>LEININGER</t>
  </si>
  <si>
    <t>LENGYEL</t>
  </si>
  <si>
    <t>LESTER</t>
  </si>
  <si>
    <t>DONALD</t>
  </si>
  <si>
    <t>SPRING</t>
  </si>
  <si>
    <t>LEWIS</t>
  </si>
  <si>
    <t>BENBROOK</t>
  </si>
  <si>
    <t>Liddeke</t>
  </si>
  <si>
    <t>Kyle</t>
  </si>
  <si>
    <t>PRO/AA MIXED CRICKET</t>
  </si>
  <si>
    <t>LIM</t>
  </si>
  <si>
    <t>SAN BERNADINO</t>
  </si>
  <si>
    <t>Lim</t>
  </si>
  <si>
    <t>Paul</t>
  </si>
  <si>
    <t>Singapore</t>
  </si>
  <si>
    <t>LONG</t>
  </si>
  <si>
    <t>MARVIN</t>
  </si>
  <si>
    <t>LOUDIN</t>
  </si>
  <si>
    <t>KATHLEEN</t>
  </si>
  <si>
    <t>LOWE</t>
  </si>
  <si>
    <t>LUCERO</t>
  </si>
  <si>
    <t>LUDTKE</t>
  </si>
  <si>
    <t>DAVENPORT</t>
  </si>
  <si>
    <t>LUKE</t>
  </si>
  <si>
    <t>SUNNYSIDE</t>
  </si>
  <si>
    <t>Lundberg</t>
  </si>
  <si>
    <t>Carl</t>
  </si>
  <si>
    <t>St. Helens</t>
  </si>
  <si>
    <t>Lynaugh</t>
  </si>
  <si>
    <t>Joey</t>
  </si>
  <si>
    <t>MADHOO</t>
  </si>
  <si>
    <t>NORMAN</t>
  </si>
  <si>
    <t>PEMBROKE PINES</t>
  </si>
  <si>
    <t>MALONEY</t>
  </si>
  <si>
    <t>PLAINFIELD</t>
  </si>
  <si>
    <t>MANCHIZH</t>
  </si>
  <si>
    <t>SOUTHGATE</t>
  </si>
  <si>
    <t>MANGRUM</t>
  </si>
  <si>
    <t>MANN</t>
  </si>
  <si>
    <t>TYNDALL</t>
  </si>
  <si>
    <t>MEN DBLS CRICKET</t>
  </si>
  <si>
    <t>MARKO</t>
  </si>
  <si>
    <t>SYRACUSE</t>
  </si>
  <si>
    <t>MARKS</t>
  </si>
  <si>
    <t>PAW PAW</t>
  </si>
  <si>
    <t>MEN'S DBLS CRICKET</t>
  </si>
  <si>
    <t>Marti</t>
  </si>
  <si>
    <t>Martin</t>
  </si>
  <si>
    <t>MARTINEZ</t>
  </si>
  <si>
    <t>JC</t>
  </si>
  <si>
    <t>MESA</t>
  </si>
  <si>
    <t>Mast</t>
  </si>
  <si>
    <t>Frank</t>
  </si>
  <si>
    <t>Pro Cricket Team</t>
  </si>
  <si>
    <t>Mawson</t>
  </si>
  <si>
    <t>N. Royalton</t>
  </si>
  <si>
    <t>McCaw</t>
  </si>
  <si>
    <t>Brady</t>
  </si>
  <si>
    <t>Eldridge</t>
  </si>
  <si>
    <t>MCCONNELL</t>
  </si>
  <si>
    <t>HASTINGS</t>
  </si>
  <si>
    <t>MCCOOL</t>
  </si>
  <si>
    <t>RALPH</t>
  </si>
  <si>
    <t>BEAN STATION</t>
  </si>
  <si>
    <t>McCowan</t>
  </si>
  <si>
    <t>Ken</t>
  </si>
  <si>
    <t>Joliet</t>
  </si>
  <si>
    <t>MCCOY</t>
  </si>
  <si>
    <t>WATERMAN</t>
  </si>
  <si>
    <t>ST JOSEPH</t>
  </si>
  <si>
    <t>McHenry</t>
  </si>
  <si>
    <t>Mike</t>
  </si>
  <si>
    <t>MCKENZIE</t>
  </si>
  <si>
    <t>TONAWANDA</t>
  </si>
  <si>
    <t>MCKIMMY</t>
  </si>
  <si>
    <t>MORGANTOWN</t>
  </si>
  <si>
    <t>MCKINNY</t>
  </si>
  <si>
    <t>BRILLIANT</t>
  </si>
  <si>
    <t>MCLAUGHLIN</t>
  </si>
  <si>
    <t>FLEMING ISLAND</t>
  </si>
  <si>
    <t>MCLEAN</t>
  </si>
  <si>
    <t>DENVER</t>
  </si>
  <si>
    <t>MEARES</t>
  </si>
  <si>
    <t>SARASOTA</t>
  </si>
  <si>
    <t>Mecum</t>
  </si>
  <si>
    <t>Seattle</t>
  </si>
  <si>
    <t>MENDEZ</t>
  </si>
  <si>
    <t>ANGEL</t>
  </si>
  <si>
    <t>MERROW</t>
  </si>
  <si>
    <t>SETH W.</t>
  </si>
  <si>
    <t>GAINESVILLE</t>
  </si>
  <si>
    <t>SETH</t>
  </si>
  <si>
    <t>Mestdagh</t>
  </si>
  <si>
    <t>Didier</t>
  </si>
  <si>
    <t>MEYER</t>
  </si>
  <si>
    <t>O'FALLON</t>
  </si>
  <si>
    <t>MONROE</t>
  </si>
  <si>
    <t>Milk</t>
  </si>
  <si>
    <t>Lake Andes</t>
  </si>
  <si>
    <t>MILLAR</t>
  </si>
  <si>
    <t>JEREMIAH</t>
  </si>
  <si>
    <t>OXFORD</t>
  </si>
  <si>
    <t>MILLER</t>
  </si>
  <si>
    <t>Miller</t>
  </si>
  <si>
    <t>MINOR</t>
  </si>
  <si>
    <t>HOWARD</t>
  </si>
  <si>
    <t>MEADVILLE</t>
  </si>
  <si>
    <t>MITCHELL</t>
  </si>
  <si>
    <t>JAYME</t>
  </si>
  <si>
    <t>PUYALLUP</t>
  </si>
  <si>
    <t>MITCHUM</t>
  </si>
  <si>
    <t>BENTON</t>
  </si>
  <si>
    <t>MIXON</t>
  </si>
  <si>
    <t>JULIAN</t>
  </si>
  <si>
    <t>POPLARSVILLE</t>
  </si>
  <si>
    <t>VINCENNES</t>
  </si>
  <si>
    <t>MOON</t>
  </si>
  <si>
    <t>Mooneyham</t>
  </si>
  <si>
    <t>RAPID CITY</t>
  </si>
  <si>
    <t>DANNY</t>
  </si>
  <si>
    <t>AURORA</t>
  </si>
  <si>
    <t>Ray</t>
  </si>
  <si>
    <t>Sioux Falls</t>
  </si>
  <si>
    <t>MORGAN</t>
  </si>
  <si>
    <t>CHRIS</t>
  </si>
  <si>
    <t>LIBERTY LAKE</t>
  </si>
  <si>
    <t>MORRIS</t>
  </si>
  <si>
    <t>MOSELEY</t>
  </si>
  <si>
    <t>OCALA</t>
  </si>
  <si>
    <t>MUSCH</t>
  </si>
  <si>
    <t>DREW</t>
  </si>
  <si>
    <t>Mutton</t>
  </si>
  <si>
    <t>Peoria</t>
  </si>
  <si>
    <t>NANKWENYA</t>
  </si>
  <si>
    <t>LOUISVILLE</t>
  </si>
  <si>
    <t>NAYLOR</t>
  </si>
  <si>
    <t>ROCKY POINT</t>
  </si>
  <si>
    <t>NC</t>
  </si>
  <si>
    <t>Neal</t>
  </si>
  <si>
    <t>Timothy</t>
  </si>
  <si>
    <t>NEAL</t>
  </si>
  <si>
    <t>Newberry</t>
  </si>
  <si>
    <t>Kaidon</t>
  </si>
  <si>
    <t>Lucky</t>
  </si>
  <si>
    <t>NEWCOMER</t>
  </si>
  <si>
    <t>CURTIS</t>
  </si>
  <si>
    <t>Newton</t>
  </si>
  <si>
    <t>Shad</t>
  </si>
  <si>
    <t>ADO Rank 2021</t>
  </si>
  <si>
    <t>NICHOLS JR</t>
  </si>
  <si>
    <t>BURL</t>
  </si>
  <si>
    <t>CANNONSBURG</t>
  </si>
  <si>
    <t>NICOLL</t>
  </si>
  <si>
    <t>GAVIN</t>
  </si>
  <si>
    <t>CENTERVILLE</t>
  </si>
  <si>
    <t>PETER</t>
  </si>
  <si>
    <t>KETTERING</t>
  </si>
  <si>
    <t>NOVACK</t>
  </si>
  <si>
    <t>JONATHON</t>
  </si>
  <si>
    <t>Novo</t>
  </si>
  <si>
    <t>Michel</t>
  </si>
  <si>
    <t>NYOTHSOM</t>
  </si>
  <si>
    <t>ANTONIO</t>
  </si>
  <si>
    <t>LINCOLN</t>
  </si>
  <si>
    <t>OFLYNN</t>
  </si>
  <si>
    <t>WEBSTER</t>
  </si>
  <si>
    <t>OGLE</t>
  </si>
  <si>
    <t>SANTEE</t>
  </si>
  <si>
    <t>OKUPNIAK</t>
  </si>
  <si>
    <t>OLIC</t>
  </si>
  <si>
    <t>OBERLIN</t>
  </si>
  <si>
    <t>Olson</t>
  </si>
  <si>
    <t>Rhinelander</t>
  </si>
  <si>
    <t>OLSON</t>
  </si>
  <si>
    <t>MILTON</t>
  </si>
  <si>
    <t>MONTY</t>
  </si>
  <si>
    <t>OTTO</t>
  </si>
  <si>
    <t>WARREN</t>
  </si>
  <si>
    <t>ROSEVILLE</t>
  </si>
  <si>
    <t>OXENDINE</t>
  </si>
  <si>
    <t>CARTERVILLE</t>
  </si>
  <si>
    <t>Pace</t>
  </si>
  <si>
    <t>Nashville</t>
  </si>
  <si>
    <t>Danny</t>
  </si>
  <si>
    <t>Commerce City</t>
  </si>
  <si>
    <t>PAGNOZZI</t>
  </si>
  <si>
    <t>WADING RIVER</t>
  </si>
  <si>
    <t>PAIZ</t>
  </si>
  <si>
    <t>FIDEL</t>
  </si>
  <si>
    <t>PAR</t>
  </si>
  <si>
    <t>PARDON</t>
  </si>
  <si>
    <t>JUAN</t>
  </si>
  <si>
    <t>PARISE</t>
  </si>
  <si>
    <t>LEHIGH ACRES</t>
  </si>
  <si>
    <t>Parsley</t>
  </si>
  <si>
    <t>Hixson</t>
  </si>
  <si>
    <t>Part</t>
  </si>
  <si>
    <t>19th</t>
  </si>
  <si>
    <t>PATTERSON</t>
  </si>
  <si>
    <t>AMHERST</t>
  </si>
  <si>
    <t>PAULSON</t>
  </si>
  <si>
    <t>TANNER</t>
  </si>
  <si>
    <t>MOSCOW</t>
  </si>
  <si>
    <t>Payne</t>
  </si>
  <si>
    <t>Tony</t>
  </si>
  <si>
    <t>Cincinnati</t>
  </si>
  <si>
    <t>PEREZ</t>
  </si>
  <si>
    <t>LYSANDRO</t>
  </si>
  <si>
    <t>MIXED TRPLES 701</t>
  </si>
  <si>
    <t>Phares</t>
  </si>
  <si>
    <t>Ben</t>
  </si>
  <si>
    <t>Indianapolis</t>
  </si>
  <si>
    <t>PRO/PRO AA LUCK CRICKET</t>
  </si>
  <si>
    <t>Phillips</t>
  </si>
  <si>
    <t>Robbie</t>
  </si>
  <si>
    <t>PHILLIPS</t>
  </si>
  <si>
    <t>Pilgrim</t>
  </si>
  <si>
    <t>Piloczewski</t>
  </si>
  <si>
    <t>Milwaukee</t>
  </si>
  <si>
    <t>Pro AA Luck</t>
  </si>
  <si>
    <t>PINT</t>
  </si>
  <si>
    <t>PITTS</t>
  </si>
  <si>
    <t>HUBBARD</t>
  </si>
  <si>
    <t>POLLOCK</t>
  </si>
  <si>
    <t>TUSCOLA</t>
  </si>
  <si>
    <t>Polvinen</t>
  </si>
  <si>
    <t>J. P.</t>
  </si>
  <si>
    <t>Riverdale</t>
  </si>
  <si>
    <t>PORTERFIELD</t>
  </si>
  <si>
    <t>SHARON</t>
  </si>
  <si>
    <t>Potter</t>
  </si>
  <si>
    <t>Buffalo</t>
  </si>
  <si>
    <t>POWERS</t>
  </si>
  <si>
    <t>CARL</t>
  </si>
  <si>
    <t>TAMPA</t>
  </si>
  <si>
    <t>Prewitt</t>
  </si>
  <si>
    <t>Dylan</t>
  </si>
  <si>
    <t>Men 501 Singles</t>
  </si>
  <si>
    <t>PRICE</t>
  </si>
  <si>
    <t>CASEYVILLE</t>
  </si>
  <si>
    <t>Priest</t>
  </si>
  <si>
    <t>Fate</t>
  </si>
  <si>
    <t>Pritts</t>
  </si>
  <si>
    <t>PROSSER</t>
  </si>
  <si>
    <t>BARBERTON</t>
  </si>
  <si>
    <t>PRUESS</t>
  </si>
  <si>
    <t>CEDAR FALLS</t>
  </si>
  <si>
    <t>PRYOR</t>
  </si>
  <si>
    <t>RODNEY</t>
  </si>
  <si>
    <t>PUENTE</t>
  </si>
  <si>
    <t>PULEO</t>
  </si>
  <si>
    <t>PUNDT</t>
  </si>
  <si>
    <t>DOMINIK</t>
  </si>
  <si>
    <t>LEAGUE CITY</t>
  </si>
  <si>
    <t>RAKOWSKI</t>
  </si>
  <si>
    <t>GARRETT</t>
  </si>
  <si>
    <t>GREENFIELD</t>
  </si>
  <si>
    <t>RAMIREZ</t>
  </si>
  <si>
    <t>RATH</t>
  </si>
  <si>
    <t>COLLIN</t>
  </si>
  <si>
    <t>PHILADEPHIA</t>
  </si>
  <si>
    <t>RAYE</t>
  </si>
  <si>
    <t>VALPARAISO</t>
  </si>
  <si>
    <t>RAYMER</t>
  </si>
  <si>
    <t>REARDON</t>
  </si>
  <si>
    <t>SALEM</t>
  </si>
  <si>
    <t>REEVES</t>
  </si>
  <si>
    <t>YANKTON</t>
  </si>
  <si>
    <t>Rench</t>
  </si>
  <si>
    <t>Reyes</t>
  </si>
  <si>
    <t>Alex</t>
  </si>
  <si>
    <t>Floresville</t>
  </si>
  <si>
    <t>REYNOLDS</t>
  </si>
  <si>
    <t>SALISBURY</t>
  </si>
  <si>
    <t>RICE</t>
  </si>
  <si>
    <t>WESLEY</t>
  </si>
  <si>
    <t>GLEN</t>
  </si>
  <si>
    <t>NEDERLAND</t>
  </si>
  <si>
    <t>RIPP</t>
  </si>
  <si>
    <t>KEN</t>
  </si>
  <si>
    <t>ST CLOUD</t>
  </si>
  <si>
    <t>RISLEY</t>
  </si>
  <si>
    <t>Robbins</t>
  </si>
  <si>
    <t>ADO Top 25 2021</t>
  </si>
  <si>
    <t>ROBERTS</t>
  </si>
  <si>
    <t>LEWISTON</t>
  </si>
  <si>
    <t>ROBINSON</t>
  </si>
  <si>
    <t>ISSAC</t>
  </si>
  <si>
    <t>ALBION</t>
  </si>
  <si>
    <t>Rodriguez</t>
  </si>
  <si>
    <t>Rusty</t>
  </si>
  <si>
    <t>AUSTRIA</t>
  </si>
  <si>
    <t>Pro AA 501 Doubles</t>
  </si>
  <si>
    <t>RODRIGUEZ</t>
  </si>
  <si>
    <t>ALFREDO</t>
  </si>
  <si>
    <t>ROMERO</t>
  </si>
  <si>
    <t>JALEN</t>
  </si>
  <si>
    <t>ST PAUL</t>
  </si>
  <si>
    <t>CHATSWORTH</t>
  </si>
  <si>
    <t>ROWE</t>
  </si>
  <si>
    <t>PARKVILLE</t>
  </si>
  <si>
    <t>Roy</t>
  </si>
  <si>
    <t>RUIZ</t>
  </si>
  <si>
    <t>RUNGE</t>
  </si>
  <si>
    <t>GRETNA</t>
  </si>
  <si>
    <t>RUTHLEDGE</t>
  </si>
  <si>
    <t>JEREL</t>
  </si>
  <si>
    <t>RYDEEN</t>
  </si>
  <si>
    <t>SOMERSET</t>
  </si>
  <si>
    <t>TOP GUN PRO MIXED TRIPS</t>
  </si>
  <si>
    <t>SAENZ</t>
  </si>
  <si>
    <t>SAN DIEGO</t>
  </si>
  <si>
    <t>SAMS</t>
  </si>
  <si>
    <t>MICANOPY</t>
  </si>
  <si>
    <t>Sanden</t>
  </si>
  <si>
    <t>Sawyer</t>
  </si>
  <si>
    <t>Peabody</t>
  </si>
  <si>
    <t>MA</t>
  </si>
  <si>
    <t>Scarberry</t>
  </si>
  <si>
    <t>Rick</t>
  </si>
  <si>
    <t>SCARBOROUGH</t>
  </si>
  <si>
    <t>GLENDALE</t>
  </si>
  <si>
    <t>SCHAUMANN</t>
  </si>
  <si>
    <t>AIKEN</t>
  </si>
  <si>
    <t>SCHERMERHORN</t>
  </si>
  <si>
    <t>ST. JOSEPH</t>
  </si>
  <si>
    <t>SCHMIDT</t>
  </si>
  <si>
    <t>EUGENE</t>
  </si>
  <si>
    <t>DECKER</t>
  </si>
  <si>
    <t>SCHNITZLER</t>
  </si>
  <si>
    <t>BRYAN</t>
  </si>
  <si>
    <t>APOLLO BEACH</t>
  </si>
  <si>
    <t>SCHRAMM</t>
  </si>
  <si>
    <t>JAQCKSONVILLE</t>
  </si>
  <si>
    <t>Schreiber</t>
  </si>
  <si>
    <t>Jake</t>
  </si>
  <si>
    <t>St. Paul</t>
  </si>
  <si>
    <t>SCHULTZ</t>
  </si>
  <si>
    <t>OSLO</t>
  </si>
  <si>
    <t>SCHWINDMANN</t>
  </si>
  <si>
    <t>OVERLAND PARK</t>
  </si>
  <si>
    <t>BS 37</t>
  </si>
  <si>
    <t>SEEBERGER</t>
  </si>
  <si>
    <t>CYPRESS</t>
  </si>
  <si>
    <t>Segers</t>
  </si>
  <si>
    <t>Selepec</t>
  </si>
  <si>
    <t>Orlando</t>
  </si>
  <si>
    <t>SELLERS</t>
  </si>
  <si>
    <t>FAIRLAND</t>
  </si>
  <si>
    <t>SEVADA</t>
  </si>
  <si>
    <t>PARKER</t>
  </si>
  <si>
    <t>SEYLER</t>
  </si>
  <si>
    <t>SONNY</t>
  </si>
  <si>
    <t>Shampine</t>
  </si>
  <si>
    <t>SHANNON</t>
  </si>
  <si>
    <t>BILL</t>
  </si>
  <si>
    <t>SHERBON</t>
  </si>
  <si>
    <t>WATERLOO</t>
  </si>
  <si>
    <t>SHOLLENBERGER</t>
  </si>
  <si>
    <t>ASHLEY</t>
  </si>
  <si>
    <t>SHOWERS</t>
  </si>
  <si>
    <t>SIGALL</t>
  </si>
  <si>
    <t>HOPEWELL</t>
  </si>
  <si>
    <t>SILVAS</t>
  </si>
  <si>
    <t>TUCSON</t>
  </si>
  <si>
    <t>Simon</t>
  </si>
  <si>
    <t>SMITH</t>
  </si>
  <si>
    <t>SOLTERO</t>
  </si>
  <si>
    <t>FRANCISCO</t>
  </si>
  <si>
    <t>ROCKFORD</t>
  </si>
  <si>
    <t>SOLTYS</t>
  </si>
  <si>
    <t>SIMPSONVILLE</t>
  </si>
  <si>
    <t>SOOHEY</t>
  </si>
  <si>
    <t>BRIAN</t>
  </si>
  <si>
    <t>SOROCHMAN</t>
  </si>
  <si>
    <t>STEPHEN</t>
  </si>
  <si>
    <t>MCKEES ROCK</t>
  </si>
  <si>
    <t>SOTO</t>
  </si>
  <si>
    <t>CRAID</t>
  </si>
  <si>
    <t>COLORADO SPRINGS</t>
  </si>
  <si>
    <t>SPELLMAN</t>
  </si>
  <si>
    <t>ALEX</t>
  </si>
  <si>
    <t>FUQUAY-BARINA</t>
  </si>
  <si>
    <t>SPENCER</t>
  </si>
  <si>
    <t>LAKELAND</t>
  </si>
  <si>
    <t>SPRINGER JR</t>
  </si>
  <si>
    <t>JEFF</t>
  </si>
  <si>
    <t>BOTHEL</t>
  </si>
  <si>
    <t>Spry</t>
  </si>
  <si>
    <t>STADLER</t>
  </si>
  <si>
    <t>FALL RIVER</t>
  </si>
  <si>
    <t>STEFFEN</t>
  </si>
  <si>
    <t>GABRIEL</t>
  </si>
  <si>
    <t>CROOKS</t>
  </si>
  <si>
    <t>STEINKE</t>
  </si>
  <si>
    <t>DYLIN</t>
  </si>
  <si>
    <t>EAU CLAIRE</t>
  </si>
  <si>
    <t>Stephano</t>
  </si>
  <si>
    <t>Seth</t>
  </si>
  <si>
    <t>STERBENZ</t>
  </si>
  <si>
    <t>BONITA SPRINGS</t>
  </si>
  <si>
    <t>STEVENS</t>
  </si>
  <si>
    <t>RILEY</t>
  </si>
  <si>
    <t>Stewart</t>
  </si>
  <si>
    <t>Don</t>
  </si>
  <si>
    <t>Pro Doubles 501</t>
  </si>
  <si>
    <t>Wisconsin BS 34</t>
  </si>
  <si>
    <t>STEWART</t>
  </si>
  <si>
    <t>DONNY</t>
  </si>
  <si>
    <t>FRANKLIN</t>
  </si>
  <si>
    <t>STILLWAGON</t>
  </si>
  <si>
    <t>CONNELLSVILLE</t>
  </si>
  <si>
    <t>STORTZ</t>
  </si>
  <si>
    <t>STEPHAN</t>
  </si>
  <si>
    <t>FORT ATKINSON</t>
  </si>
  <si>
    <t>STRATTON</t>
  </si>
  <si>
    <t>Strawbridge</t>
  </si>
  <si>
    <t>Dayton</t>
  </si>
  <si>
    <t>Bensonville</t>
  </si>
  <si>
    <t>ADO 2018</t>
  </si>
  <si>
    <t>23rd</t>
  </si>
  <si>
    <t>STROBEL</t>
  </si>
  <si>
    <t>CINCINNATI</t>
  </si>
  <si>
    <t>SUMMITS</t>
  </si>
  <si>
    <t>JEFFERY MICHAEL</t>
  </si>
  <si>
    <t>WINDBER</t>
  </si>
  <si>
    <t>SWANSON</t>
  </si>
  <si>
    <t>CADILLAC</t>
  </si>
  <si>
    <t>SWETIC</t>
  </si>
  <si>
    <t>VANDERGRIFT</t>
  </si>
  <si>
    <t>Sylvan</t>
  </si>
  <si>
    <t>Chad</t>
  </si>
  <si>
    <t>Oklahoma City</t>
  </si>
  <si>
    <t>SZYMCZAK</t>
  </si>
  <si>
    <t>TARASKIEWICZ</t>
  </si>
  <si>
    <t>LOVELAND</t>
  </si>
  <si>
    <t>JARED</t>
  </si>
  <si>
    <t>WELLINGTON</t>
  </si>
  <si>
    <t>TASSI</t>
  </si>
  <si>
    <t>ALFRED</t>
  </si>
  <si>
    <t>TAVARAS</t>
  </si>
  <si>
    <t>Phil</t>
  </si>
  <si>
    <t>England</t>
  </si>
  <si>
    <t>6th</t>
  </si>
  <si>
    <t>Tegel</t>
  </si>
  <si>
    <t>TENNEY</t>
  </si>
  <si>
    <t>TERRAL</t>
  </si>
  <si>
    <t>TOMMY</t>
  </si>
  <si>
    <t>SWANSEA</t>
  </si>
  <si>
    <t>TERRELL</t>
  </si>
  <si>
    <t>TIM</t>
  </si>
  <si>
    <t>TESSO</t>
  </si>
  <si>
    <t>ASHLAND</t>
  </si>
  <si>
    <t>THAXTON</t>
  </si>
  <si>
    <t>CARY</t>
  </si>
  <si>
    <t>WEST CHESTER</t>
  </si>
  <si>
    <t>Thibert</t>
  </si>
  <si>
    <t>ROME</t>
  </si>
  <si>
    <t>Thompson</t>
  </si>
  <si>
    <t>TIMKO</t>
  </si>
  <si>
    <t>HOMER CITY</t>
  </si>
  <si>
    <t>TITMAN</t>
  </si>
  <si>
    <t>TRAINOR</t>
  </si>
  <si>
    <t>GILBERT</t>
  </si>
  <si>
    <t>TRENHOLM</t>
  </si>
  <si>
    <t>DARCY</t>
  </si>
  <si>
    <t>TURNER</t>
  </si>
  <si>
    <t>ULEBERG</t>
  </si>
  <si>
    <t>DAMON</t>
  </si>
  <si>
    <t>.</t>
  </si>
  <si>
    <t>Ulry</t>
  </si>
  <si>
    <t>Green Bay</t>
  </si>
  <si>
    <t>Mens Doubles</t>
  </si>
  <si>
    <t>UNDERWOOD</t>
  </si>
  <si>
    <t>KARTER</t>
  </si>
  <si>
    <t>MOSINEE</t>
  </si>
  <si>
    <t>Utz</t>
  </si>
  <si>
    <t>VAN BEEK</t>
  </si>
  <si>
    <t>Van Deurson</t>
  </si>
  <si>
    <t>Lindenhurst</t>
  </si>
  <si>
    <t>VAN DONGEN</t>
  </si>
  <si>
    <t>JULES</t>
  </si>
  <si>
    <t>Van Droogenbroeck</t>
  </si>
  <si>
    <t>Eddy</t>
  </si>
  <si>
    <t>Van Goietsenoven</t>
  </si>
  <si>
    <t>Van Peer</t>
  </si>
  <si>
    <t>Berry</t>
  </si>
  <si>
    <t>NETHERLANDS</t>
  </si>
  <si>
    <t>Van Zant</t>
  </si>
  <si>
    <t>VANKAMPEN</t>
  </si>
  <si>
    <t>KEEGAN</t>
  </si>
  <si>
    <t>CLINTON</t>
  </si>
  <si>
    <t>LEE ROY</t>
  </si>
  <si>
    <t>Vaughn</t>
  </si>
  <si>
    <t>Sidney</t>
  </si>
  <si>
    <t>Canonsburg</t>
  </si>
  <si>
    <t>Verner</t>
  </si>
  <si>
    <t>G. R.</t>
  </si>
  <si>
    <t>Bethel Park</t>
  </si>
  <si>
    <t>Verrier</t>
  </si>
  <si>
    <t>Gerald</t>
  </si>
  <si>
    <t>Salem</t>
  </si>
  <si>
    <t>OR</t>
  </si>
  <si>
    <t>VILLEDA</t>
  </si>
  <si>
    <t>ERNESTO</t>
  </si>
  <si>
    <t>WADE</t>
  </si>
  <si>
    <t>LEAVENWORTH</t>
  </si>
  <si>
    <t>WALLETTE</t>
  </si>
  <si>
    <t>LINUS</t>
  </si>
  <si>
    <t>BEL COURT</t>
  </si>
  <si>
    <t>WALTON</t>
  </si>
  <si>
    <t>LAURENCE</t>
  </si>
  <si>
    <t>MEBANE</t>
  </si>
  <si>
    <t>WALTON JR</t>
  </si>
  <si>
    <t>BETHEL PARK</t>
  </si>
  <si>
    <t>WARD</t>
  </si>
  <si>
    <t>JODY</t>
  </si>
  <si>
    <t>CROSBY</t>
  </si>
  <si>
    <t>WARNOCK</t>
  </si>
  <si>
    <t>STEVE</t>
  </si>
  <si>
    <t>WATERFIELD</t>
  </si>
  <si>
    <t>ROB</t>
  </si>
  <si>
    <t>MT. PLEASANT</t>
  </si>
  <si>
    <t>WATT</t>
  </si>
  <si>
    <t>PRINCETON</t>
  </si>
  <si>
    <t>Waugh</t>
  </si>
  <si>
    <t>Jay</t>
  </si>
  <si>
    <t>WELCOME</t>
  </si>
  <si>
    <t>LACONIA</t>
  </si>
  <si>
    <t>NH</t>
  </si>
  <si>
    <t>WEST</t>
  </si>
  <si>
    <t>EAST ALTON</t>
  </si>
  <si>
    <t>WESTELL</t>
  </si>
  <si>
    <t>BOB</t>
  </si>
  <si>
    <t>White</t>
  </si>
  <si>
    <t>Paw Paw</t>
  </si>
  <si>
    <t>Widmayer</t>
  </si>
  <si>
    <t>WIEDEMANN</t>
  </si>
  <si>
    <t>PRESTON</t>
  </si>
  <si>
    <t>MUSTANG</t>
  </si>
  <si>
    <t>WILBUR</t>
  </si>
  <si>
    <t>CALEDONIA</t>
  </si>
  <si>
    <t>WILE</t>
  </si>
  <si>
    <t>LANCASTER</t>
  </si>
  <si>
    <t>Wiles</t>
  </si>
  <si>
    <t>Bob</t>
  </si>
  <si>
    <t>Levittown</t>
  </si>
  <si>
    <t>Asia Champ</t>
  </si>
  <si>
    <t>WILLIAMS</t>
  </si>
  <si>
    <t>TACOMA</t>
  </si>
  <si>
    <t>DOUGLASS</t>
  </si>
  <si>
    <t>WILLIS</t>
  </si>
  <si>
    <t>WILMER</t>
  </si>
  <si>
    <t>FLORENCE</t>
  </si>
  <si>
    <t>WINBORN</t>
  </si>
  <si>
    <t>SHERRON</t>
  </si>
  <si>
    <t>NEW ALBANY</t>
  </si>
  <si>
    <t>NIN</t>
  </si>
  <si>
    <t>WISMETH</t>
  </si>
  <si>
    <t>Witherby</t>
  </si>
  <si>
    <t>Kurtis</t>
  </si>
  <si>
    <t>Machesney Park</t>
  </si>
  <si>
    <t>WOOLFORT</t>
  </si>
  <si>
    <t>NIKOLAUS</t>
  </si>
  <si>
    <t>Wootten</t>
  </si>
  <si>
    <t>Clifford</t>
  </si>
  <si>
    <t>WRIGHT</t>
  </si>
  <si>
    <t>FRED</t>
  </si>
  <si>
    <t>Yaksitch</t>
  </si>
  <si>
    <t>Yancey</t>
  </si>
  <si>
    <t>Yasenchak</t>
  </si>
  <si>
    <t>Cleveland</t>
  </si>
  <si>
    <t>ADO Top 20 202</t>
  </si>
  <si>
    <t>Yeast</t>
  </si>
  <si>
    <t>Nicholas</t>
  </si>
  <si>
    <t>Galesburg</t>
  </si>
  <si>
    <t>Young</t>
  </si>
  <si>
    <t>Darin</t>
  </si>
  <si>
    <t>Freeland</t>
  </si>
  <si>
    <t>YOUNG</t>
  </si>
  <si>
    <t>Young Jr</t>
  </si>
  <si>
    <t>YPUNGS</t>
  </si>
  <si>
    <t>GREELEY</t>
  </si>
  <si>
    <t>ZHUKAS</t>
  </si>
  <si>
    <t>MT PLEASANT</t>
  </si>
  <si>
    <t>Ziemanski</t>
  </si>
  <si>
    <t>ZIMMERMAN</t>
  </si>
  <si>
    <t>CRESTVIEW</t>
  </si>
  <si>
    <t>Women's A / AA</t>
  </si>
  <si>
    <t>OFF A LIST</t>
  </si>
  <si>
    <t>ACKLEY</t>
  </si>
  <si>
    <t>WOMEN DBLS 301</t>
  </si>
  <si>
    <t>TX REGIONAL BS 38</t>
  </si>
  <si>
    <t>DEBORAH</t>
  </si>
  <si>
    <t>CORRYTON</t>
  </si>
  <si>
    <t>WOMENS 301 DBLS</t>
  </si>
  <si>
    <t>OLIVIA</t>
  </si>
  <si>
    <t>WOMEN B DBLS 301</t>
  </si>
  <si>
    <t>BS 38 FINALS</t>
  </si>
  <si>
    <t>ALICIA</t>
  </si>
  <si>
    <t>WOMEN DBLS COMBO</t>
  </si>
  <si>
    <t>SC REGIONAL BS 38</t>
  </si>
  <si>
    <t>Almeida</t>
  </si>
  <si>
    <t>ANDERSEN</t>
  </si>
  <si>
    <t>CHIPPEWA FALLS</t>
  </si>
  <si>
    <t>WOMENS DBLS 301</t>
  </si>
  <si>
    <t>IN REGIONAL BS 36</t>
  </si>
  <si>
    <t>Amanda</t>
  </si>
  <si>
    <t>Houlton</t>
  </si>
  <si>
    <t>Women A 501 Doubles</t>
  </si>
  <si>
    <t>ARREDONDO</t>
  </si>
  <si>
    <t>MISSY</t>
  </si>
  <si>
    <t>WHITING</t>
  </si>
  <si>
    <t>BACKENSTO</t>
  </si>
  <si>
    <t>JESSICA</t>
  </si>
  <si>
    <t>WOMENS DBLS COMBO</t>
  </si>
  <si>
    <t>PA REGIONAL BS 36</t>
  </si>
  <si>
    <t>BANKS</t>
  </si>
  <si>
    <t>CHRISTINA</t>
  </si>
  <si>
    <t>LITHIA</t>
  </si>
  <si>
    <t>BANTZ</t>
  </si>
  <si>
    <t>SARAH</t>
  </si>
  <si>
    <t>WOMENS B COMBO LUCK</t>
  </si>
  <si>
    <t>BATES</t>
  </si>
  <si>
    <t>KASEY</t>
  </si>
  <si>
    <t>HANCOCK</t>
  </si>
  <si>
    <t>WOMEN A DBLS CRICKET</t>
  </si>
  <si>
    <t>Kaylee</t>
  </si>
  <si>
    <t>WOMENS A DBLS 501</t>
  </si>
  <si>
    <t>BELLRICHARD</t>
  </si>
  <si>
    <t>SKYLER</t>
  </si>
  <si>
    <t>BLOOMER</t>
  </si>
  <si>
    <t>Bencic</t>
  </si>
  <si>
    <t>Tanja</t>
  </si>
  <si>
    <t>LITTLETON</t>
  </si>
  <si>
    <t>BENNETT</t>
  </si>
  <si>
    <t>BISHOP</t>
  </si>
  <si>
    <t>TONYA</t>
  </si>
  <si>
    <t>WAPAKONETA</t>
  </si>
  <si>
    <t>OH REGIONAL BS 38</t>
  </si>
  <si>
    <t>BLOSSER</t>
  </si>
  <si>
    <t>CORI</t>
  </si>
  <si>
    <t>ALIQUIPPA</t>
  </si>
  <si>
    <t>NY REGIONAL BS 38</t>
  </si>
  <si>
    <t>BOGULAWSKI</t>
  </si>
  <si>
    <t>MEGAN</t>
  </si>
  <si>
    <t>WOMEN B CRICKET DBLS</t>
  </si>
  <si>
    <t>BOLES</t>
  </si>
  <si>
    <t>TAWANNA</t>
  </si>
  <si>
    <t>WOMEN B COMBO LUCK</t>
  </si>
  <si>
    <t>Boyke</t>
  </si>
  <si>
    <t>Justine</t>
  </si>
  <si>
    <t>Pingree Grove</t>
  </si>
  <si>
    <t>BRADBURY</t>
  </si>
  <si>
    <t>KELLY</t>
  </si>
  <si>
    <t>FRUITLAND PARK</t>
  </si>
  <si>
    <t>FL REGIONAL BS 36</t>
  </si>
  <si>
    <t>BRAGG</t>
  </si>
  <si>
    <t>VAL</t>
  </si>
  <si>
    <t>MORRISONVILLE</t>
  </si>
  <si>
    <t>WOMENS SNG COMBO</t>
  </si>
  <si>
    <t>MARY</t>
  </si>
  <si>
    <t>MCHENRY</t>
  </si>
  <si>
    <t>WOMENS AA DBLS 501</t>
  </si>
  <si>
    <t>BRAY</t>
  </si>
  <si>
    <t>JERI</t>
  </si>
  <si>
    <t>BRECKINFELDER</t>
  </si>
  <si>
    <t>CATHY</t>
  </si>
  <si>
    <t>AZ REGIONAL BS 36</t>
  </si>
  <si>
    <t>BROWDER</t>
  </si>
  <si>
    <t>HEATHER</t>
  </si>
  <si>
    <t>PLATTSBURGH</t>
  </si>
  <si>
    <t>BROYLES</t>
  </si>
  <si>
    <t>INDEPENDENCE</t>
  </si>
  <si>
    <t>BUDDEN</t>
  </si>
  <si>
    <t>RAEGAN</t>
  </si>
  <si>
    <t>FREEPORT</t>
  </si>
  <si>
    <t>WOMEN AA DBLS 501</t>
  </si>
  <si>
    <t>BURCHFIELD</t>
  </si>
  <si>
    <t>MICHELLE</t>
  </si>
  <si>
    <t>CARPENTERSVILLE</t>
  </si>
  <si>
    <t>TG MIXED TRIPLES 701</t>
  </si>
  <si>
    <t>Burgess</t>
  </si>
  <si>
    <t>Jennifer</t>
  </si>
  <si>
    <t>BURKE</t>
  </si>
  <si>
    <t>CHARITY</t>
  </si>
  <si>
    <t>WY REGIONAL BS 36</t>
  </si>
  <si>
    <t>BUTTS</t>
  </si>
  <si>
    <t>JENNIFER</t>
  </si>
  <si>
    <t>DEKALB</t>
  </si>
  <si>
    <t>CADY</t>
  </si>
  <si>
    <t>DONNA</t>
  </si>
  <si>
    <t>Angela</t>
  </si>
  <si>
    <t>Hegans</t>
  </si>
  <si>
    <t>CARLI</t>
  </si>
  <si>
    <t>MARISSA</t>
  </si>
  <si>
    <t>SHAKESPEARE</t>
  </si>
  <si>
    <t>TopGun Women AA</t>
  </si>
  <si>
    <t>ANGELA</t>
  </si>
  <si>
    <t>HEGINS</t>
  </si>
  <si>
    <t>CARLTON</t>
  </si>
  <si>
    <t>POWELL</t>
  </si>
  <si>
    <t>TN REGIONAL BS 38</t>
  </si>
  <si>
    <t>Cervantes</t>
  </si>
  <si>
    <t>Megan</t>
  </si>
  <si>
    <t>Navasota</t>
  </si>
  <si>
    <t>WOMENS SINGLES COMBO</t>
  </si>
  <si>
    <t>TX REGIONAL BS 36</t>
  </si>
  <si>
    <t>CERVANTES-BOBO</t>
  </si>
  <si>
    <t>MAGNOLIA</t>
  </si>
  <si>
    <t>PARK CITY</t>
  </si>
  <si>
    <t>WOMEN A CRICKET DBLS</t>
  </si>
  <si>
    <t>CHERRY</t>
  </si>
  <si>
    <t>HAILEY</t>
  </si>
  <si>
    <t>PENSACOLA</t>
  </si>
  <si>
    <t>JILLIAN</t>
  </si>
  <si>
    <t>PA REGIONAL BS 38</t>
  </si>
  <si>
    <t>CHURCH</t>
  </si>
  <si>
    <t>HEIDI</t>
  </si>
  <si>
    <t>ALTOONA</t>
  </si>
  <si>
    <t>3RD'</t>
  </si>
  <si>
    <t>CLARK</t>
  </si>
  <si>
    <t>STEPHANIE</t>
  </si>
  <si>
    <t>CLAYTON</t>
  </si>
  <si>
    <t>PENNY</t>
  </si>
  <si>
    <t>COLONA</t>
  </si>
  <si>
    <t>TOP GUN TRIPLES</t>
  </si>
  <si>
    <t>ACWORTH</t>
  </si>
  <si>
    <t>COCHRAN</t>
  </si>
  <si>
    <t>ANGIE</t>
  </si>
  <si>
    <t>SHEA</t>
  </si>
  <si>
    <t>WOMEN SNG COMBO</t>
  </si>
  <si>
    <t>COLLINS</t>
  </si>
  <si>
    <t>MARY BETH</t>
  </si>
  <si>
    <t>FT WAYNE</t>
  </si>
  <si>
    <t>CONLAN</t>
  </si>
  <si>
    <t>KRISTIN</t>
  </si>
  <si>
    <t>WATERTOWN</t>
  </si>
  <si>
    <t>COONTZ</t>
  </si>
  <si>
    <t>WANDA</t>
  </si>
  <si>
    <t>CORNISH</t>
  </si>
  <si>
    <t>SUSAN</t>
  </si>
  <si>
    <t>HAMMONDSPORT</t>
  </si>
  <si>
    <t>CRADDOCK</t>
  </si>
  <si>
    <t>BRIDGETT</t>
  </si>
  <si>
    <t>FL REGIONAL BS 38</t>
  </si>
  <si>
    <t>CRISS</t>
  </si>
  <si>
    <t>KALIKA</t>
  </si>
  <si>
    <t>CROUGH</t>
  </si>
  <si>
    <t>DEVYN</t>
  </si>
  <si>
    <t>Cunningham</t>
  </si>
  <si>
    <t>Bette</t>
  </si>
  <si>
    <t>Curry</t>
  </si>
  <si>
    <t>Robin</t>
  </si>
  <si>
    <t>DAUBER</t>
  </si>
  <si>
    <t>TAMMY</t>
  </si>
  <si>
    <t>ELLENWOOD</t>
  </si>
  <si>
    <t>WOMEN A/AA LUCK</t>
  </si>
  <si>
    <t>RACHNA</t>
  </si>
  <si>
    <t>NORWAY</t>
  </si>
  <si>
    <t>DAVIS</t>
  </si>
  <si>
    <t>KRISTY</t>
  </si>
  <si>
    <t>DEER PARK</t>
  </si>
  <si>
    <t>WOMEN SINGLES</t>
  </si>
  <si>
    <t>DEFISHER</t>
  </si>
  <si>
    <t>NICOLE</t>
  </si>
  <si>
    <t>MARION</t>
  </si>
  <si>
    <t>NY REGIONAL BS 36</t>
  </si>
  <si>
    <t>DEMPSEY</t>
  </si>
  <si>
    <t>ANNETTE</t>
  </si>
  <si>
    <t>ALLEGANY</t>
  </si>
  <si>
    <t>DEWITT</t>
  </si>
  <si>
    <t>DARLENE</t>
  </si>
  <si>
    <t>DUNDEE</t>
  </si>
  <si>
    <t>DIGENOVA</t>
  </si>
  <si>
    <t>DANIELLE</t>
  </si>
  <si>
    <t>CHARLESTON</t>
  </si>
  <si>
    <t>DODSON</t>
  </si>
  <si>
    <t>WENDI</t>
  </si>
  <si>
    <t>TEMPE</t>
  </si>
  <si>
    <t>DONELSON</t>
  </si>
  <si>
    <t>TUNICA</t>
  </si>
  <si>
    <t>WOMEN SINGLES COMBO</t>
  </si>
  <si>
    <t>DUBOSE</t>
  </si>
  <si>
    <t>ALVANITA</t>
  </si>
  <si>
    <t>DULAK</t>
  </si>
  <si>
    <t>HOLLY</t>
  </si>
  <si>
    <t>CLAIRTON</t>
  </si>
  <si>
    <t>LUKISHA</t>
  </si>
  <si>
    <t>TOPGUN WOMEN B SINGLES</t>
  </si>
  <si>
    <t>Edgett</t>
  </si>
  <si>
    <t>Brittany</t>
  </si>
  <si>
    <t>SHELLY</t>
  </si>
  <si>
    <t>WOMEN B DBLS CRICKET</t>
  </si>
  <si>
    <t>EGLY</t>
  </si>
  <si>
    <t>TOP GUN WOMEN SINGLES</t>
  </si>
  <si>
    <t>Espinoza</t>
  </si>
  <si>
    <t>Wendy</t>
  </si>
  <si>
    <t>Owatonna</t>
  </si>
  <si>
    <t>Women AA 501 Doubles</t>
  </si>
  <si>
    <t>EVANS</t>
  </si>
  <si>
    <t>BROOKE</t>
  </si>
  <si>
    <t>CHANDLER</t>
  </si>
  <si>
    <t>FASICK</t>
  </si>
  <si>
    <t>HOPE</t>
  </si>
  <si>
    <t>WOMEN B 301 DBLS</t>
  </si>
  <si>
    <t>Feiertag</t>
  </si>
  <si>
    <t>Tracy</t>
  </si>
  <si>
    <t>FERGUSON</t>
  </si>
  <si>
    <t>PORTAGE</t>
  </si>
  <si>
    <t>TOP GUN WOMEN B SNG CRICKET</t>
  </si>
  <si>
    <t>FORSMAN</t>
  </si>
  <si>
    <t>KORINA</t>
  </si>
  <si>
    <t>FRALEY</t>
  </si>
  <si>
    <t>SANGRIA</t>
  </si>
  <si>
    <t>FRAZIER</t>
  </si>
  <si>
    <t>AUBRY</t>
  </si>
  <si>
    <t>MI REGIONAL BS 38</t>
  </si>
  <si>
    <t>GAGEN</t>
  </si>
  <si>
    <t>GALFORD</t>
  </si>
  <si>
    <t>TERI</t>
  </si>
  <si>
    <t>HERNAEO</t>
  </si>
  <si>
    <t>GALLEY</t>
  </si>
  <si>
    <t>CATHERINE</t>
  </si>
  <si>
    <t>JEANNETTE</t>
  </si>
  <si>
    <t>GANNON</t>
  </si>
  <si>
    <t>MARLENE</t>
  </si>
  <si>
    <t>OAK LAWN</t>
  </si>
  <si>
    <t>WOMEN A 501 DBLS</t>
  </si>
  <si>
    <t>GASS</t>
  </si>
  <si>
    <t>SIOUX CITY</t>
  </si>
  <si>
    <t>GILLEN</t>
  </si>
  <si>
    <t>CORRIEANNE</t>
  </si>
  <si>
    <t>GILLIAM</t>
  </si>
  <si>
    <t>WOMEN A/AA COMBO LUCK</t>
  </si>
  <si>
    <t>GILSTRAP</t>
  </si>
  <si>
    <t>VICTORIA</t>
  </si>
  <si>
    <t>KOKOMO</t>
  </si>
  <si>
    <t>GLENN</t>
  </si>
  <si>
    <t>AUTUMN</t>
  </si>
  <si>
    <t>MASCOT</t>
  </si>
  <si>
    <t>Goebel</t>
  </si>
  <si>
    <t>Gabriela</t>
  </si>
  <si>
    <t>WOMENS A DBLS CRICKET</t>
  </si>
  <si>
    <t>GOFORTH</t>
  </si>
  <si>
    <t>KELSEY</t>
  </si>
  <si>
    <t>GOOD</t>
  </si>
  <si>
    <t>CARA</t>
  </si>
  <si>
    <t>METRAIRIE</t>
  </si>
  <si>
    <t>BULLSHOOTER 36 fINALS</t>
  </si>
  <si>
    <t>Graybeal</t>
  </si>
  <si>
    <t>Michelle</t>
  </si>
  <si>
    <t>ADO Top 10 2021</t>
  </si>
  <si>
    <t>Samantha</t>
  </si>
  <si>
    <t>Sycamore</t>
  </si>
  <si>
    <t>GRIMAL</t>
  </si>
  <si>
    <t>KRISSY</t>
  </si>
  <si>
    <t>WIMAUMA</t>
  </si>
  <si>
    <t>GRZESIK</t>
  </si>
  <si>
    <t>TRISH</t>
  </si>
  <si>
    <t>Haas</t>
  </si>
  <si>
    <t>Sandy</t>
  </si>
  <si>
    <t>Harrison</t>
  </si>
  <si>
    <t>Halbert</t>
  </si>
  <si>
    <t>Lyndsay</t>
  </si>
  <si>
    <t>Women A/AA Combo Luck</t>
  </si>
  <si>
    <t>JESSIE</t>
  </si>
  <si>
    <t>SUZIE</t>
  </si>
  <si>
    <t>HURST</t>
  </si>
  <si>
    <t>HAMMOND</t>
  </si>
  <si>
    <t>SPRINGHILL</t>
  </si>
  <si>
    <t>Hanssen</t>
  </si>
  <si>
    <t>Tammy</t>
  </si>
  <si>
    <t>Mount Sterling</t>
  </si>
  <si>
    <t>WOMENS LUCK COMBO</t>
  </si>
  <si>
    <t>Hardwick</t>
  </si>
  <si>
    <t>Amber</t>
  </si>
  <si>
    <t>Camby</t>
  </si>
  <si>
    <t>WOMEN A DBLS 501</t>
  </si>
  <si>
    <t>Harper</t>
  </si>
  <si>
    <t>Lynn</t>
  </si>
  <si>
    <t>HARRINGTON</t>
  </si>
  <si>
    <t>HARRIS</t>
  </si>
  <si>
    <t>INES</t>
  </si>
  <si>
    <t>ORMOND</t>
  </si>
  <si>
    <t>BEAR CREEK TWP</t>
  </si>
  <si>
    <t>SAMANTHA</t>
  </si>
  <si>
    <t>PARACHUTE</t>
  </si>
  <si>
    <t>DUBUQUE</t>
  </si>
  <si>
    <t>Haynes</t>
  </si>
  <si>
    <t>LOUDONVILLE</t>
  </si>
  <si>
    <t>HEWITT</t>
  </si>
  <si>
    <t>ROSENDALE</t>
  </si>
  <si>
    <t>HIGGINS</t>
  </si>
  <si>
    <t>VIRGINIA</t>
  </si>
  <si>
    <t>TEXAS CITY</t>
  </si>
  <si>
    <t>HINSHAW</t>
  </si>
  <si>
    <t>MICHIGAN CITY</t>
  </si>
  <si>
    <t>Womens AA 501 Dbls</t>
  </si>
  <si>
    <t>HOGAN</t>
  </si>
  <si>
    <t>MELISSA</t>
  </si>
  <si>
    <t>HONEYMAN</t>
  </si>
  <si>
    <t>BAILEY</t>
  </si>
  <si>
    <t>HORTON</t>
  </si>
  <si>
    <t>SAVANNAH</t>
  </si>
  <si>
    <t>PANA</t>
  </si>
  <si>
    <t>KRISTI</t>
  </si>
  <si>
    <t>MISHAWAKA</t>
  </si>
  <si>
    <t>CHEOLA</t>
  </si>
  <si>
    <t>Hudson</t>
  </si>
  <si>
    <t>IRBY</t>
  </si>
  <si>
    <t>RATONDA</t>
  </si>
  <si>
    <t>IVERS</t>
  </si>
  <si>
    <t>LAUREN LEE</t>
  </si>
  <si>
    <t>CUMBERLAND</t>
  </si>
  <si>
    <t>MD</t>
  </si>
  <si>
    <t>BS 38 FFINALS</t>
  </si>
  <si>
    <t>Ivey</t>
  </si>
  <si>
    <t>Debbie</t>
  </si>
  <si>
    <t>LAVERNIA</t>
  </si>
  <si>
    <t>IVORA</t>
  </si>
  <si>
    <t>MARIA</t>
  </si>
  <si>
    <t>WOMEN AA DBLS CRICKET</t>
  </si>
  <si>
    <t>Aaja</t>
  </si>
  <si>
    <t>Mellisa</t>
  </si>
  <si>
    <t>JOHNS</t>
  </si>
  <si>
    <t>ALEXIS</t>
  </si>
  <si>
    <t>CHESTERTON</t>
  </si>
  <si>
    <t>Womens A 501 Dbls</t>
  </si>
  <si>
    <t>DENISE</t>
  </si>
  <si>
    <t>COMMERCE CITY</t>
  </si>
  <si>
    <t>Janine</t>
  </si>
  <si>
    <t>Chilton</t>
  </si>
  <si>
    <t>Susan</t>
  </si>
  <si>
    <t>Hampshire</t>
  </si>
  <si>
    <t>Women A Cricket Doubles</t>
  </si>
  <si>
    <t>CYNTHIA</t>
  </si>
  <si>
    <t>WOMEN AA 501 DBLS</t>
  </si>
  <si>
    <t>LIMA</t>
  </si>
  <si>
    <t>JOST</t>
  </si>
  <si>
    <t>HAYLEY</t>
  </si>
  <si>
    <t>Karpowich</t>
  </si>
  <si>
    <t>Kathy</t>
  </si>
  <si>
    <t>50th</t>
  </si>
  <si>
    <t>Kasperzick</t>
  </si>
  <si>
    <t>Murfreesboro</t>
  </si>
  <si>
    <t>KELLOGG</t>
  </si>
  <si>
    <t>MIRANDA</t>
  </si>
  <si>
    <t>Kiel</t>
  </si>
  <si>
    <t>Marlise</t>
  </si>
  <si>
    <t>Parma</t>
  </si>
  <si>
    <t>KAREN</t>
  </si>
  <si>
    <t>HIGHLAND</t>
  </si>
  <si>
    <t>CELESTE</t>
  </si>
  <si>
    <t>HENDERSON</t>
  </si>
  <si>
    <t>Kish</t>
  </si>
  <si>
    <t>WOMENS A/AA COMBO LUCK</t>
  </si>
  <si>
    <t>Kotara</t>
  </si>
  <si>
    <t>Gemma</t>
  </si>
  <si>
    <t>Chantilly</t>
  </si>
  <si>
    <t>KUCHINSKI</t>
  </si>
  <si>
    <t>KAYLEE</t>
  </si>
  <si>
    <t>LANGEL</t>
  </si>
  <si>
    <t>AMANDA</t>
  </si>
  <si>
    <t>LARBIG</t>
  </si>
  <si>
    <t>LINDA</t>
  </si>
  <si>
    <t>LEAL</t>
  </si>
  <si>
    <t>LeDell</t>
  </si>
  <si>
    <t>Nicole</t>
  </si>
  <si>
    <t>Duluth</t>
  </si>
  <si>
    <t>Pro A/AA Mixed Cricket</t>
  </si>
  <si>
    <t>LEITER</t>
  </si>
  <si>
    <t>MACIE</t>
  </si>
  <si>
    <t>ZEPHYRHILLS</t>
  </si>
  <si>
    <t>DAWN</t>
  </si>
  <si>
    <t>MATTILY</t>
  </si>
  <si>
    <t>BRUMLEY</t>
  </si>
  <si>
    <t>Loucks</t>
  </si>
  <si>
    <t>Tina</t>
  </si>
  <si>
    <t>Middlebury</t>
  </si>
  <si>
    <t>LUNA</t>
  </si>
  <si>
    <t>LAURIE</t>
  </si>
  <si>
    <t>LUPO</t>
  </si>
  <si>
    <t>DARREN</t>
  </si>
  <si>
    <t>SOUTHWEST RANCHES</t>
  </si>
  <si>
    <t>LYLES</t>
  </si>
  <si>
    <t>LARA</t>
  </si>
  <si>
    <t>LYZAK</t>
  </si>
  <si>
    <t>LAINE</t>
  </si>
  <si>
    <t>MADER</t>
  </si>
  <si>
    <t>RHONDA</t>
  </si>
  <si>
    <t>Maine</t>
  </si>
  <si>
    <t>Shari</t>
  </si>
  <si>
    <t>MALIE</t>
  </si>
  <si>
    <t>JAMIE</t>
  </si>
  <si>
    <t>AMBRIDGE</t>
  </si>
  <si>
    <t>MALLARY</t>
  </si>
  <si>
    <t>PORT BYRON</t>
  </si>
  <si>
    <t>Mars</t>
  </si>
  <si>
    <t>Carolyn</t>
  </si>
  <si>
    <t>Martinez Olcina</t>
  </si>
  <si>
    <t>Mila</t>
  </si>
  <si>
    <t>Mason</t>
  </si>
  <si>
    <t>Maria</t>
  </si>
  <si>
    <t>CAN</t>
  </si>
  <si>
    <t>MC HENRY</t>
  </si>
  <si>
    <t>BRITTNIE</t>
  </si>
  <si>
    <t>ALLENTON</t>
  </si>
  <si>
    <t>MCDANIEL</t>
  </si>
  <si>
    <t>STACY</t>
  </si>
  <si>
    <t>WALLS</t>
  </si>
  <si>
    <t>WOMEN SNG</t>
  </si>
  <si>
    <t>COMBO</t>
  </si>
  <si>
    <t>McGee</t>
  </si>
  <si>
    <t>Meredith</t>
  </si>
  <si>
    <t>Oviedo</t>
  </si>
  <si>
    <t>MCGHEE</t>
  </si>
  <si>
    <t>CARON</t>
  </si>
  <si>
    <t>PRO MIXED DBLS CRICKET</t>
  </si>
  <si>
    <t>MCKEE</t>
  </si>
  <si>
    <t>CLARKSTON</t>
  </si>
  <si>
    <t>MCKINLEY</t>
  </si>
  <si>
    <t>KAITLYN</t>
  </si>
  <si>
    <t>MARYLAND HEIGHTS</t>
  </si>
  <si>
    <t>MCKINNEY</t>
  </si>
  <si>
    <t>LAURA</t>
  </si>
  <si>
    <t>BOAZ</t>
  </si>
  <si>
    <t>Meares</t>
  </si>
  <si>
    <t>Sarasota</t>
  </si>
  <si>
    <t>MELTON</t>
  </si>
  <si>
    <t>UT</t>
  </si>
  <si>
    <t>Middleton</t>
  </si>
  <si>
    <t>Katherine</t>
  </si>
  <si>
    <t>Alma</t>
  </si>
  <si>
    <t>MIDDLETON</t>
  </si>
  <si>
    <t>TRISTEN</t>
  </si>
  <si>
    <t>HANNA</t>
  </si>
  <si>
    <t>WILKINSON</t>
  </si>
  <si>
    <t>MILLHOUSE</t>
  </si>
  <si>
    <t>CANDI</t>
  </si>
  <si>
    <t>TRIADELPHIA</t>
  </si>
  <si>
    <t>WOMENS B DBLS CRICKET</t>
  </si>
  <si>
    <t>Mills</t>
  </si>
  <si>
    <t>NE REGIONAL BS 36</t>
  </si>
  <si>
    <t>Moore</t>
  </si>
  <si>
    <t>Marrisa</t>
  </si>
  <si>
    <t>Morton</t>
  </si>
  <si>
    <t>Caeleigh</t>
  </si>
  <si>
    <t>Manhattan</t>
  </si>
  <si>
    <t>KINGSVILLE</t>
  </si>
  <si>
    <t>MOSELY</t>
  </si>
  <si>
    <t>MOWERY</t>
  </si>
  <si>
    <t>PAYTON</t>
  </si>
  <si>
    <t>PORTVILLE</t>
  </si>
  <si>
    <t>THERESA</t>
  </si>
  <si>
    <t>MULLEN</t>
  </si>
  <si>
    <t>DESTINEE</t>
  </si>
  <si>
    <t>NORFOLK</t>
  </si>
  <si>
    <t>MURPHY</t>
  </si>
  <si>
    <t>PAULA</t>
  </si>
  <si>
    <t>MURRAY</t>
  </si>
  <si>
    <t>KAYLA</t>
  </si>
  <si>
    <t>MYERS</t>
  </si>
  <si>
    <t>KAITLIN</t>
  </si>
  <si>
    <t>Nagel</t>
  </si>
  <si>
    <t>Miranda</t>
  </si>
  <si>
    <t>Rockwell City</t>
  </si>
  <si>
    <t>NEJEDLO</t>
  </si>
  <si>
    <t>BECKY</t>
  </si>
  <si>
    <t>NEWSOME</t>
  </si>
  <si>
    <t>NGUGI</t>
  </si>
  <si>
    <t>CAROLINE</t>
  </si>
  <si>
    <t>NIEDOSIK</t>
  </si>
  <si>
    <t>WAKEMAN</t>
  </si>
  <si>
    <t>NIELSEN</t>
  </si>
  <si>
    <t>CARRIE</t>
  </si>
  <si>
    <t>NIETO-VANHAM</t>
  </si>
  <si>
    <t>MARGARET</t>
  </si>
  <si>
    <t>THE WOODLANDS</t>
  </si>
  <si>
    <t>WOMENS DBLS C301</t>
  </si>
  <si>
    <t>NOWAK</t>
  </si>
  <si>
    <t>JAMI</t>
  </si>
  <si>
    <t>SHEBOYGAN</t>
  </si>
  <si>
    <t>OLIVER</t>
  </si>
  <si>
    <t>Port St. Lucie</t>
  </si>
  <si>
    <t>Sonja</t>
  </si>
  <si>
    <t>Michele</t>
  </si>
  <si>
    <t>Valerie</t>
  </si>
  <si>
    <t>OSTERHOUDT</t>
  </si>
  <si>
    <t>BREANNA</t>
  </si>
  <si>
    <t>HIBBING</t>
  </si>
  <si>
    <t>Stacey</t>
  </si>
  <si>
    <t>Louisville</t>
  </si>
  <si>
    <t>PALUMBO</t>
  </si>
  <si>
    <t>ALYSON</t>
  </si>
  <si>
    <t>SUMTER</t>
  </si>
  <si>
    <t>SC REGIONAL BS 36</t>
  </si>
  <si>
    <t>PANTI</t>
  </si>
  <si>
    <t>KIMBERLY</t>
  </si>
  <si>
    <t>PARSONS</t>
  </si>
  <si>
    <t>LISA</t>
  </si>
  <si>
    <t>WARRENSBURG</t>
  </si>
  <si>
    <t>Persun</t>
  </si>
  <si>
    <t>Madison</t>
  </si>
  <si>
    <t>Fort Mill</t>
  </si>
  <si>
    <t>Peterson</t>
  </si>
  <si>
    <t>Sharon</t>
  </si>
  <si>
    <t>PETRALI</t>
  </si>
  <si>
    <t>MADISON</t>
  </si>
  <si>
    <t>PHARES</t>
  </si>
  <si>
    <t>JENINIFER</t>
  </si>
  <si>
    <t>WEST VALLEY</t>
  </si>
  <si>
    <t>Picket</t>
  </si>
  <si>
    <t>Chicago</t>
  </si>
  <si>
    <t>PIERSING</t>
  </si>
  <si>
    <t>MEMPHIS</t>
  </si>
  <si>
    <t>PIPPIN</t>
  </si>
  <si>
    <t>CASANDRA</t>
  </si>
  <si>
    <t>JB ANDREWS</t>
  </si>
  <si>
    <t>PLOUGHELD</t>
  </si>
  <si>
    <t>ANNEMARIE</t>
  </si>
  <si>
    <t>Pluff-Romero</t>
  </si>
  <si>
    <t>Patricia</t>
  </si>
  <si>
    <t>Maplewood</t>
  </si>
  <si>
    <t>WOMENS A/AA LUCK</t>
  </si>
  <si>
    <t>PODRAZA</t>
  </si>
  <si>
    <t>KATHY</t>
  </si>
  <si>
    <t>POHLMAN</t>
  </si>
  <si>
    <t>LORA</t>
  </si>
  <si>
    <t>GODFREY</t>
  </si>
  <si>
    <t>Preciado</t>
  </si>
  <si>
    <t>Stitches</t>
  </si>
  <si>
    <t>BELLFLOWER</t>
  </si>
  <si>
    <t>PRIDE</t>
  </si>
  <si>
    <t>BRITTNEY</t>
  </si>
  <si>
    <t>BEAVER DAM</t>
  </si>
  <si>
    <t>PRZYBYL</t>
  </si>
  <si>
    <t>KASIA</t>
  </si>
  <si>
    <t>STERLING HEIGHTS</t>
  </si>
  <si>
    <t>PULIDO</t>
  </si>
  <si>
    <t>SOFIA</t>
  </si>
  <si>
    <t>LONDON</t>
  </si>
  <si>
    <t>QUALLS</t>
  </si>
  <si>
    <t>KATEY</t>
  </si>
  <si>
    <t>Quan</t>
  </si>
  <si>
    <t>Teresa</t>
  </si>
  <si>
    <t>Ramos</t>
  </si>
  <si>
    <t>Janie</t>
  </si>
  <si>
    <t>Cedar Creek</t>
  </si>
  <si>
    <t>Rasor</t>
  </si>
  <si>
    <t>Elisha</t>
  </si>
  <si>
    <t>Raymond</t>
  </si>
  <si>
    <t>Lorelei</t>
  </si>
  <si>
    <t>San Mateo</t>
  </si>
  <si>
    <t>RAYMOND</t>
  </si>
  <si>
    <t>LORELEI</t>
  </si>
  <si>
    <t>SAN MATEO</t>
  </si>
  <si>
    <t>REED</t>
  </si>
  <si>
    <t>TRINA</t>
  </si>
  <si>
    <t>REYMER</t>
  </si>
  <si>
    <t>RICHARDS</t>
  </si>
  <si>
    <t>RIEDERER</t>
  </si>
  <si>
    <t>NANCY</t>
  </si>
  <si>
    <t>GUTHRIE CENTER</t>
  </si>
  <si>
    <t>Ripol</t>
  </si>
  <si>
    <t>Renee</t>
  </si>
  <si>
    <t>RIVERA</t>
  </si>
  <si>
    <t>TIFFANY</t>
  </si>
  <si>
    <t>KRISTINA</t>
  </si>
  <si>
    <t>ROONEY</t>
  </si>
  <si>
    <t>Roush</t>
  </si>
  <si>
    <t>Brenda</t>
  </si>
  <si>
    <t>RITA</t>
  </si>
  <si>
    <t>BELLEVUE</t>
  </si>
  <si>
    <t>RUSSO</t>
  </si>
  <si>
    <t>TINA</t>
  </si>
  <si>
    <t>JEFFERSON HILLS</t>
  </si>
  <si>
    <t>SASS</t>
  </si>
  <si>
    <t>Scantlen</t>
  </si>
  <si>
    <t>Cassy</t>
  </si>
  <si>
    <t>SCHMITZ</t>
  </si>
  <si>
    <t>DEBRA</t>
  </si>
  <si>
    <t>FORT COLLINS</t>
  </si>
  <si>
    <t>SCHUMAKER</t>
  </si>
  <si>
    <t>SCUDDER</t>
  </si>
  <si>
    <t>JEAN</t>
  </si>
  <si>
    <t>WOMEN A/AA COMB LUCK</t>
  </si>
  <si>
    <t>SHELTON</t>
  </si>
  <si>
    <t>SHEPHERD</t>
  </si>
  <si>
    <t>RENELLE</t>
  </si>
  <si>
    <t>CARROLTON</t>
  </si>
  <si>
    <t>SHERWOOD</t>
  </si>
  <si>
    <t>BARBARA</t>
  </si>
  <si>
    <t>NAPERVILLE</t>
  </si>
  <si>
    <t>SHIRLEY</t>
  </si>
  <si>
    <t>SIMPKINS</t>
  </si>
  <si>
    <t>LORI</t>
  </si>
  <si>
    <t>MARYSVILLE</t>
  </si>
  <si>
    <t>SIMS</t>
  </si>
  <si>
    <t>NIAGARA FALLS</t>
  </si>
  <si>
    <t>Smith</t>
  </si>
  <si>
    <t>SNYDER</t>
  </si>
  <si>
    <t>Lewiston</t>
  </si>
  <si>
    <t>Solis</t>
  </si>
  <si>
    <t>Carolanne</t>
  </si>
  <si>
    <t>Surfside Beach</t>
  </si>
  <si>
    <t>Sonntag</t>
  </si>
  <si>
    <t>SOTH</t>
  </si>
  <si>
    <t>SWARTZ CREEK</t>
  </si>
  <si>
    <t>Spencer</t>
  </si>
  <si>
    <t>Kearney</t>
  </si>
  <si>
    <t>SPOTT</t>
  </si>
  <si>
    <t>ABBY</t>
  </si>
  <si>
    <t>NEW RICHMOND</t>
  </si>
  <si>
    <t>STEELE</t>
  </si>
  <si>
    <t>STEIN</t>
  </si>
  <si>
    <t>GERI</t>
  </si>
  <si>
    <t>MIDLOTHIAN</t>
  </si>
  <si>
    <t>STEVENSON</t>
  </si>
  <si>
    <t>LAKE ORION</t>
  </si>
  <si>
    <t>STEWART (NICOLE)</t>
  </si>
  <si>
    <t>TASHA</t>
  </si>
  <si>
    <t>SURRENCY</t>
  </si>
  <si>
    <t>KERI</t>
  </si>
  <si>
    <t>PLANT CITY</t>
  </si>
  <si>
    <t>SWAIN</t>
  </si>
  <si>
    <t>JASMINE</t>
  </si>
  <si>
    <t>SWEET</t>
  </si>
  <si>
    <t>ALIVIA</t>
  </si>
  <si>
    <t>WOMEN AA CRICKET DBLS</t>
  </si>
  <si>
    <t>TALKS</t>
  </si>
  <si>
    <t>VANESSA</t>
  </si>
  <si>
    <t>JACKSON</t>
  </si>
  <si>
    <t>Andrea</t>
  </si>
  <si>
    <t>TERRY</t>
  </si>
  <si>
    <t>TOLEDO</t>
  </si>
  <si>
    <t>Thaxton</t>
  </si>
  <si>
    <t>THIBAULT</t>
  </si>
  <si>
    <t>LYMAN</t>
  </si>
  <si>
    <t>TISCHLER</t>
  </si>
  <si>
    <t>NEOGA</t>
  </si>
  <si>
    <t>VALERIE</t>
  </si>
  <si>
    <t>MENAHGA</t>
  </si>
  <si>
    <t>TYNAN</t>
  </si>
  <si>
    <t>ELIZABETH</t>
  </si>
  <si>
    <t>CHICAGO</t>
  </si>
  <si>
    <t>MADISYN</t>
  </si>
  <si>
    <t>VANDER LEEST</t>
  </si>
  <si>
    <t>VIBERT</t>
  </si>
  <si>
    <t>SOPHIE</t>
  </si>
  <si>
    <t>WAGNOR</t>
  </si>
  <si>
    <t>UNION MILLS</t>
  </si>
  <si>
    <t>Walz</t>
  </si>
  <si>
    <t>Patty</t>
  </si>
  <si>
    <t>WAREHAM</t>
  </si>
  <si>
    <t>CEDAR RAPIDS</t>
  </si>
  <si>
    <t>Warmack</t>
  </si>
  <si>
    <t>Dani</t>
  </si>
  <si>
    <t>WASHINGTON</t>
  </si>
  <si>
    <t>MISSOURI CITY</t>
  </si>
  <si>
    <t>WATSON</t>
  </si>
  <si>
    <t>SPRING HILL</t>
  </si>
  <si>
    <t>WEGER</t>
  </si>
  <si>
    <t>JULIE</t>
  </si>
  <si>
    <t>BLOOMINGTON</t>
  </si>
  <si>
    <t>Welty</t>
  </si>
  <si>
    <t>Celena</t>
  </si>
  <si>
    <t>Littlestown</t>
  </si>
  <si>
    <t>WERNETTE</t>
  </si>
  <si>
    <t>WESCOTT</t>
  </si>
  <si>
    <t>REBECCA</t>
  </si>
  <si>
    <t>BELEVUE</t>
  </si>
  <si>
    <t>West</t>
  </si>
  <si>
    <t>Cali</t>
  </si>
  <si>
    <t>WHITE</t>
  </si>
  <si>
    <t>LAURI</t>
  </si>
  <si>
    <t>MILLERSPORT</t>
  </si>
  <si>
    <t>Wickersham</t>
  </si>
  <si>
    <t>MAUREEN</t>
  </si>
  <si>
    <t>WILMINGTON</t>
  </si>
  <si>
    <t>WOMACK</t>
  </si>
  <si>
    <t>CODIE</t>
  </si>
  <si>
    <t>OOLTEWAH</t>
  </si>
  <si>
    <t>WOMENS DBLS CRICKET</t>
  </si>
  <si>
    <t>WOMBLE</t>
  </si>
  <si>
    <t>MARQUISE</t>
  </si>
  <si>
    <t>APPLETON</t>
  </si>
  <si>
    <t>Woods</t>
  </si>
  <si>
    <t>ELISSA</t>
  </si>
  <si>
    <t>MT ZION</t>
  </si>
  <si>
    <t>MICHELLA</t>
  </si>
  <si>
    <t>PORT ST. LUCIE</t>
  </si>
  <si>
    <t>Wyatt</t>
  </si>
  <si>
    <t>YARDLEY</t>
  </si>
  <si>
    <t>CENTRALIA</t>
  </si>
  <si>
    <t>YEE</t>
  </si>
  <si>
    <t>TOPGUN WOMEN A SINGLES</t>
  </si>
  <si>
    <t>TRACEY</t>
  </si>
  <si>
    <t>ZAIS</t>
  </si>
  <si>
    <t>ANITA</t>
  </si>
  <si>
    <t>ZENNER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</si>
</sst>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 d"/>
  </numFmts>
  <fonts count="7">
    <font>
      <sz val="11.0"/>
      <color rgb="FF000000"/>
      <name val="Calibri"/>
    </font>
    <font>
      <b/>
      <sz val="24.0"/>
      <color rgb="FF000000"/>
      <name val="Calibri"/>
    </font>
    <font>
      <sz val="12.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1.0"/>
      <name val="Calibri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horizontal="center"/>
    </xf>
    <xf borderId="0" fillId="0" fontId="2" numFmtId="0" xfId="0" applyFont="1"/>
    <xf borderId="1" fillId="2" fontId="3" numFmtId="0" xfId="0" applyAlignment="1" applyBorder="1" applyFill="1" applyFont="1">
      <alignment horizontal="center"/>
    </xf>
    <xf borderId="1" fillId="3" fontId="3" numFmtId="0" xfId="0" applyAlignment="1" applyBorder="1" applyFill="1" applyFont="1">
      <alignment horizontal="center"/>
    </xf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4" numFmtId="14" xfId="0" applyAlignment="1" applyFont="1" applyNumberFormat="1">
      <alignment horizontal="center" shrinkToFit="0" wrapText="1"/>
    </xf>
    <xf borderId="0" fillId="0" fontId="4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0" fontId="4" numFmtId="14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4" fontId="3" numFmtId="0" xfId="0" applyFill="1" applyFont="1"/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vertical="center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Font="1"/>
    <xf borderId="0" fillId="0" fontId="5" numFmtId="0" xfId="0" applyAlignment="1" applyFont="1">
      <alignment horizontal="right"/>
    </xf>
    <xf borderId="0" fillId="0" fontId="5" numFmtId="0" xfId="0" applyFont="1"/>
    <xf borderId="2" fillId="3" fontId="6" numFmtId="0" xfId="0" applyAlignment="1" applyBorder="1" applyFont="1">
      <alignment horizontal="left" vertical="bottom"/>
    </xf>
    <xf borderId="2" fillId="3" fontId="6" numFmtId="0" xfId="0" applyAlignment="1" applyBorder="1" applyFont="1">
      <alignment horizontal="right" vertical="bottom"/>
    </xf>
    <xf borderId="2" fillId="3" fontId="6" numFmtId="0" xfId="0" applyAlignment="1" applyBorder="1" applyFont="1">
      <alignment horizontal="right" vertical="bottom"/>
    </xf>
    <xf borderId="2" fillId="3" fontId="6" numFmtId="0" xfId="0" applyAlignment="1" applyBorder="1" applyFont="1">
      <alignment horizontal="center" vertical="bottom"/>
    </xf>
    <xf borderId="3" fillId="0" fontId="0" numFmtId="0" xfId="0" applyAlignment="1" applyBorder="1" applyFont="1">
      <alignment horizontal="left" readingOrder="0" shrinkToFit="0" vertical="bottom" wrapText="0"/>
    </xf>
    <xf borderId="4" fillId="0" fontId="0" numFmtId="0" xfId="0" applyAlignment="1" applyBorder="1" applyFont="1">
      <alignment horizontal="left" readingOrder="0" shrinkToFit="0" vertical="bottom" wrapText="0"/>
    </xf>
    <xf borderId="4" fillId="0" fontId="0" numFmtId="14" xfId="0" applyAlignment="1" applyBorder="1" applyFont="1" applyNumberFormat="1">
      <alignment horizontal="left" readingOrder="0" shrinkToFit="0" vertical="bottom" wrapText="0"/>
    </xf>
    <xf borderId="4" fillId="0" fontId="0" numFmtId="14" xfId="0" applyAlignment="1" applyBorder="1" applyFont="1" applyNumberFormat="1">
      <alignment horizontal="left" shrinkToFit="0" vertical="bottom" wrapText="0"/>
    </xf>
    <xf borderId="4" fillId="0" fontId="0" numFmtId="164" xfId="0" applyAlignment="1" applyBorder="1" applyFont="1" applyNumberFormat="1">
      <alignment horizontal="left" readingOrder="0" shrinkToFit="0" vertical="bottom" wrapText="0"/>
    </xf>
    <xf borderId="4" fillId="0" fontId="0" numFmtId="165" xfId="0" applyAlignment="1" applyBorder="1" applyFont="1" applyNumberFormat="1">
      <alignment horizontal="left" readingOrder="0" shrinkToFit="0" vertical="bottom" wrapText="0"/>
    </xf>
    <xf borderId="4" fillId="0" fontId="0" numFmtId="0" xfId="0" applyAlignment="1" applyBorder="1" applyFont="1">
      <alignment horizontal="left" shrinkToFit="0" vertical="bottom" wrapText="0"/>
    </xf>
    <xf borderId="2" fillId="0" fontId="0" numFmtId="0" xfId="0" applyAlignment="1" applyBorder="1" applyFont="1">
      <alignment horizontal="left" readingOrder="0" shrinkToFit="0" vertical="bottom" wrapText="0"/>
    </xf>
    <xf borderId="5" fillId="0" fontId="0" numFmtId="0" xfId="0" applyAlignment="1" applyBorder="1" applyFont="1">
      <alignment horizontal="left" readingOrder="0" shrinkToFit="0" vertical="bottom" wrapText="0"/>
    </xf>
    <xf borderId="5" fillId="0" fontId="0" numFmtId="14" xfId="0" applyAlignment="1" applyBorder="1" applyFont="1" applyNumberFormat="1">
      <alignment horizontal="left" readingOrder="0" shrinkToFit="0" vertical="bottom" wrapText="0"/>
    </xf>
    <xf borderId="5" fillId="0" fontId="0" numFmtId="14" xfId="0" applyAlignment="1" applyBorder="1" applyFont="1" applyNumberFormat="1">
      <alignment horizontal="left" shrinkToFit="0" vertical="bottom" wrapText="0"/>
    </xf>
    <xf borderId="5" fillId="0" fontId="0" numFmtId="164" xfId="0" applyAlignment="1" applyBorder="1" applyFont="1" applyNumberFormat="1">
      <alignment horizontal="left" readingOrder="0" shrinkToFit="0" vertical="bottom" wrapText="0"/>
    </xf>
    <xf borderId="3" fillId="0" fontId="0" numFmtId="0" xfId="0" applyAlignment="1" applyBorder="1" applyFont="1">
      <alignment horizontal="left" readingOrder="0" vertical="bottom"/>
    </xf>
    <xf borderId="4" fillId="0" fontId="0" numFmtId="0" xfId="0" applyAlignment="1" applyBorder="1" applyFont="1">
      <alignment horizontal="left" readingOrder="0" vertical="bottom"/>
    </xf>
    <xf borderId="4" fillId="0" fontId="0" numFmtId="0" xfId="0" applyAlignment="1" applyBorder="1" applyFont="1">
      <alignment horizontal="left" vertical="bottom"/>
    </xf>
    <xf borderId="4" fillId="0" fontId="0" numFmtId="14" xfId="0" applyAlignment="1" applyBorder="1" applyFont="1" applyNumberFormat="1">
      <alignment horizontal="left" readingOrder="0" vertical="bottom"/>
    </xf>
    <xf borderId="4" fillId="0" fontId="5" numFmtId="164" xfId="0" applyAlignment="1" applyBorder="1" applyFont="1" applyNumberFormat="1">
      <alignment horizontal="left" readingOrder="0" shrinkToFit="0" vertical="bottom" wrapText="0"/>
    </xf>
    <xf borderId="4" fillId="0" fontId="5" numFmtId="0" xfId="0" applyAlignment="1" applyBorder="1" applyFont="1">
      <alignment horizontal="left" readingOrder="0" shrinkToFit="0" vertical="bottom" wrapText="0"/>
    </xf>
    <xf borderId="3" fillId="0" fontId="0" numFmtId="0" xfId="0" applyAlignment="1" applyBorder="1" applyFont="1">
      <alignment readingOrder="0" shrinkToFit="0" vertical="bottom" wrapText="0"/>
    </xf>
    <xf borderId="4" fillId="0" fontId="0" numFmtId="0" xfId="0" applyAlignment="1" applyBorder="1" applyFont="1">
      <alignment readingOrder="0" shrinkToFit="0" vertical="bottom" wrapText="0"/>
    </xf>
    <xf borderId="4" fillId="0" fontId="0" numFmtId="0" xfId="0" applyAlignment="1" applyBorder="1" applyFont="1">
      <alignment horizontal="left" readingOrder="0" shrinkToFit="0" vertical="bottom" wrapText="0"/>
    </xf>
    <xf borderId="3" fillId="4" fontId="0" numFmtId="0" xfId="0" applyAlignment="1" applyBorder="1" applyFont="1">
      <alignment horizontal="left" readingOrder="0" shrinkToFit="0" vertical="bottom" wrapText="0"/>
    </xf>
    <xf borderId="4" fillId="0" fontId="0" numFmtId="165" xfId="0" applyAlignment="1" applyBorder="1" applyFont="1" applyNumberFormat="1">
      <alignment horizontal="left" shrinkToFit="0" vertical="bottom" wrapText="0"/>
    </xf>
    <xf borderId="4" fillId="0" fontId="0" numFmtId="0" xfId="0" applyAlignment="1" applyBorder="1" applyFont="1">
      <alignment horizontal="left" shrinkToFit="0" vertical="bottom" wrapText="0"/>
    </xf>
    <xf borderId="6" fillId="0" fontId="0" numFmtId="0" xfId="0" applyAlignment="1" applyBorder="1" applyFont="1">
      <alignment horizontal="left" readingOrder="0" shrinkToFit="0" vertical="bottom" wrapText="0"/>
    </xf>
    <xf borderId="7" fillId="0" fontId="0" numFmtId="0" xfId="0" applyAlignment="1" applyBorder="1" applyFont="1">
      <alignment horizontal="left" readingOrder="0" shrinkToFit="0" vertical="bottom" wrapText="0"/>
    </xf>
    <xf borderId="7" fillId="0" fontId="0" numFmtId="0" xfId="0" applyAlignment="1" applyBorder="1" applyFont="1">
      <alignment horizontal="left" shrinkToFit="0" vertical="bottom" wrapText="0"/>
    </xf>
    <xf borderId="7" fillId="0" fontId="0" numFmtId="14" xfId="0" applyAlignment="1" applyBorder="1" applyFont="1" applyNumberFormat="1">
      <alignment horizontal="left" readingOrder="0" shrinkToFit="0" vertical="bottom" wrapText="0"/>
    </xf>
    <xf borderId="7" fillId="0" fontId="0" numFmtId="14" xfId="0" applyAlignment="1" applyBorder="1" applyFont="1" applyNumberFormat="1">
      <alignment horizontal="left" shrinkToFit="0" vertical="bottom" wrapText="0"/>
    </xf>
    <xf borderId="7" fillId="0" fontId="0" numFmtId="164" xfId="0" applyAlignment="1" applyBorder="1" applyFont="1" applyNumberFormat="1">
      <alignment horizontal="left" readingOrder="0" shrinkToFit="0" vertical="bottom" wrapText="0"/>
    </xf>
    <xf borderId="3" fillId="0" fontId="0" numFmtId="0" xfId="0" applyAlignment="1" applyBorder="1" applyFont="1">
      <alignment shrinkToFit="0" vertical="bottom" wrapText="0"/>
    </xf>
    <xf borderId="4" fillId="0" fontId="0" numFmtId="0" xfId="0" applyAlignment="1" applyBorder="1" applyFont="1">
      <alignment shrinkToFit="0" vertical="bottom" wrapText="0"/>
    </xf>
    <xf borderId="4" fillId="0" fontId="0" numFmtId="0" xfId="0" applyAlignment="1" applyBorder="1" applyFont="1">
      <alignment horizontal="left" shrinkToFit="0" vertical="bottom" wrapText="0"/>
    </xf>
    <xf borderId="3" fillId="0" fontId="0" numFmtId="0" xfId="0" applyAlignment="1" applyBorder="1" applyFont="1">
      <alignment horizontal="left" readingOrder="0" shrinkToFit="0" wrapText="0"/>
    </xf>
    <xf borderId="4" fillId="0" fontId="0" numFmtId="0" xfId="0" applyAlignment="1" applyBorder="1" applyFont="1">
      <alignment horizontal="left" readingOrder="0" shrinkToFit="0" wrapText="0"/>
    </xf>
    <xf borderId="4" fillId="0" fontId="0" numFmtId="14" xfId="0" applyAlignment="1" applyBorder="1" applyFont="1" applyNumberFormat="1">
      <alignment horizontal="left" readingOrder="0" shrinkToFit="0" wrapText="0"/>
    </xf>
    <xf borderId="4" fillId="0" fontId="0" numFmtId="164" xfId="0" applyAlignment="1" applyBorder="1" applyFont="1" applyNumberFormat="1">
      <alignment horizontal="left" readingOrder="0" shrinkToFit="0" wrapText="0"/>
    </xf>
    <xf borderId="4" fillId="0" fontId="0" numFmtId="0" xfId="0" applyAlignment="1" applyBorder="1" applyFont="1">
      <alignment horizontal="left" vertical="bottom"/>
    </xf>
    <xf borderId="4" fillId="0" fontId="0" numFmtId="14" xfId="0" applyAlignment="1" applyBorder="1" applyFont="1" applyNumberFormat="1">
      <alignment horizontal="left" vertical="bottom"/>
    </xf>
    <xf borderId="4" fillId="0" fontId="0" numFmtId="164" xfId="0" applyAlignment="1" applyBorder="1" applyFont="1" applyNumberFormat="1">
      <alignment horizontal="left" readingOrder="0" vertical="bottom"/>
    </xf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horizontal="left" shrinkToFit="0" wrapText="1"/>
    </xf>
    <xf borderId="0" fillId="0" fontId="4" numFmtId="14" xfId="0" applyAlignment="1" applyFont="1" applyNumberFormat="1">
      <alignment horizontal="right" shrinkToFit="0" wrapText="1"/>
    </xf>
    <xf borderId="0" fillId="0" fontId="2" numFmtId="0" xfId="0" applyAlignment="1" applyFont="1">
      <alignment horizontal="right" readingOrder="0"/>
    </xf>
    <xf borderId="2" fillId="3" fontId="3" numFmtId="0" xfId="0" applyAlignment="1" applyBorder="1" applyFont="1">
      <alignment vertical="bottom"/>
    </xf>
    <xf borderId="5" fillId="3" fontId="3" numFmtId="0" xfId="0" applyAlignment="1" applyBorder="1" applyFont="1">
      <alignment vertical="bottom"/>
    </xf>
    <xf borderId="5" fillId="3" fontId="3" numFmtId="0" xfId="0" applyAlignment="1" applyBorder="1" applyFont="1">
      <alignment horizontal="left" vertical="bottom"/>
    </xf>
    <xf borderId="5" fillId="3" fontId="3" numFmtId="0" xfId="0" applyAlignment="1" applyBorder="1" applyFont="1">
      <alignment vertical="bottom"/>
    </xf>
    <xf borderId="2" fillId="0" fontId="0" numFmtId="0" xfId="0" applyAlignment="1" applyBorder="1" applyFont="1">
      <alignment readingOrder="0" shrinkToFit="0" vertical="bottom" wrapText="0"/>
    </xf>
    <xf borderId="5" fillId="0" fontId="0" numFmtId="0" xfId="0" applyAlignment="1" applyBorder="1" applyFont="1">
      <alignment readingOrder="0" shrinkToFit="0" vertical="bottom" wrapText="0"/>
    </xf>
    <xf borderId="5" fillId="0" fontId="0" numFmtId="164" xfId="0" applyAlignment="1" applyBorder="1" applyFont="1" applyNumberFormat="1">
      <alignment horizontal="left" readingOrder="0" shrinkToFit="0" vertical="bottom" wrapText="0"/>
    </xf>
    <xf borderId="5" fillId="0" fontId="0" numFmtId="14" xfId="0" applyAlignment="1" applyBorder="1" applyFont="1" applyNumberFormat="1">
      <alignment horizontal="left" shrinkToFit="0" vertical="bottom" wrapText="0"/>
    </xf>
    <xf borderId="5" fillId="0" fontId="0" numFmtId="164" xfId="0" applyAlignment="1" applyBorder="1" applyFont="1" applyNumberFormat="1">
      <alignment horizontal="left" readingOrder="0" shrinkToFit="0" vertical="bottom" wrapText="0"/>
    </xf>
    <xf borderId="5" fillId="0" fontId="0" numFmtId="0" xfId="0" applyAlignment="1" applyBorder="1" applyFont="1">
      <alignment horizontal="left" readingOrder="0" shrinkToFit="0" vertical="bottom" wrapText="0"/>
    </xf>
    <xf borderId="3" fillId="0" fontId="0" numFmtId="0" xfId="0" applyAlignment="1" applyBorder="1" applyFont="1">
      <alignment horizontal="left" readingOrder="0" shrinkToFit="0" vertical="bottom" wrapText="0"/>
    </xf>
    <xf borderId="4" fillId="0" fontId="0" numFmtId="164" xfId="0" applyAlignment="1" applyBorder="1" applyFont="1" applyNumberFormat="1">
      <alignment horizontal="left" readingOrder="0" shrinkToFit="0" vertical="bottom" wrapText="0"/>
    </xf>
    <xf borderId="4" fillId="0" fontId="0" numFmtId="14" xfId="0" applyAlignment="1" applyBorder="1" applyFont="1" applyNumberFormat="1">
      <alignment horizontal="left" shrinkToFit="0" vertical="bottom" wrapText="0"/>
    </xf>
    <xf borderId="4" fillId="0" fontId="0" numFmtId="164" xfId="0" applyAlignment="1" applyBorder="1" applyFont="1" applyNumberFormat="1">
      <alignment horizontal="left" readingOrder="0" shrinkToFit="0" vertical="bottom" wrapText="0"/>
    </xf>
    <xf borderId="4" fillId="0" fontId="0" numFmtId="14" xfId="0" applyAlignment="1" applyBorder="1" applyFont="1" applyNumberFormat="1">
      <alignment horizontal="left" readingOrder="0" shrinkToFit="0" vertical="bottom" wrapText="0"/>
    </xf>
    <xf borderId="4" fillId="0" fontId="0" numFmtId="164" xfId="0" applyAlignment="1" applyBorder="1" applyFont="1" applyNumberFormat="1">
      <alignment horizontal="left" shrinkToFit="0" vertical="bottom" wrapText="0"/>
    </xf>
    <xf borderId="4" fillId="0" fontId="0" numFmtId="0" xfId="0" applyAlignment="1" applyBorder="1" applyFont="1">
      <alignment horizontal="left" shrinkToFit="0" vertical="bottom" wrapText="0"/>
    </xf>
    <xf borderId="4" fillId="0" fontId="0" numFmtId="165" xfId="0" applyAlignment="1" applyBorder="1" applyFont="1" applyNumberFormat="1">
      <alignment horizontal="lef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3" fillId="0" fontId="0" numFmtId="164" xfId="0" applyAlignment="1" applyBorder="1" applyFont="1" applyNumberFormat="1">
      <alignment horizontal="left" readingOrder="0" shrinkToFit="0" vertical="bottom" wrapText="0"/>
    </xf>
    <xf borderId="6" fillId="0" fontId="0" numFmtId="0" xfId="0" applyAlignment="1" applyBorder="1" applyFont="1">
      <alignment horizontal="left" readingOrder="0" shrinkToFit="0" vertical="bottom" wrapText="0"/>
    </xf>
    <xf borderId="7" fillId="0" fontId="0" numFmtId="0" xfId="0" applyAlignment="1" applyBorder="1" applyFont="1">
      <alignment horizontal="left" readingOrder="0" shrinkToFit="0" vertical="bottom" wrapText="0"/>
    </xf>
    <xf borderId="4" fillId="0" fontId="5" numFmtId="0" xfId="0" applyAlignment="1" applyBorder="1" applyFont="1">
      <alignment horizontal="left" readingOrder="0" shrinkToFit="0" vertical="bottom" wrapText="0"/>
    </xf>
    <xf borderId="4" fillId="0" fontId="5" numFmtId="0" xfId="0" applyAlignment="1" applyBorder="1" applyFont="1">
      <alignment horizontal="left" shrinkToFit="0" vertical="bottom" wrapText="0"/>
    </xf>
    <xf borderId="7" fillId="0" fontId="0" numFmtId="164" xfId="0" applyAlignment="1" applyBorder="1" applyFont="1" applyNumberFormat="1">
      <alignment horizontal="left" readingOrder="0" shrinkToFit="0" vertical="bottom" wrapText="0"/>
    </xf>
    <xf borderId="7" fillId="0" fontId="0" numFmtId="164" xfId="0" applyAlignment="1" applyBorder="1" applyFont="1" applyNumberFormat="1">
      <alignment horizontal="left" readingOrder="0" shrinkToFit="0" vertical="bottom" wrapText="0"/>
    </xf>
    <xf borderId="2" fillId="0" fontId="0" numFmtId="0" xfId="0" applyAlignment="1" applyBorder="1" applyFont="1">
      <alignment horizontal="left" readingOrder="0" shrinkToFit="0" vertical="bottom" wrapText="0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35.86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0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tr">
        <f>IFERROR(__xludf.DUMMYFUNCTION("query('MENS PRO  AA'!A2:L758,""select A, B, C, D, E, F, G, H, I, K WHERE L = 1 ORDER BY A ASC"",1)"),"LAST")</f>
        <v>LAST</v>
      </c>
      <c r="B2" s="5" t="str">
        <f>IFERROR(__xludf.DUMMYFUNCTION("""COMPUTED_VALUE"""),"FIRST")</f>
        <v>FIRST</v>
      </c>
      <c r="C2" s="5" t="str">
        <f>IFERROR(__xludf.DUMMYFUNCTION("""COMPUTED_VALUE"""),"CITY")</f>
        <v>CITY</v>
      </c>
      <c r="D2" s="5" t="str">
        <f>IFERROR(__xludf.DUMMYFUNCTION("""COMPUTED_VALUE"""),"STATE")</f>
        <v>STATE</v>
      </c>
      <c r="E2" s="5" t="str">
        <f>IFERROR(__xludf.DUMMYFUNCTION("""COMPUTED_VALUE"""),"COUNTRY")</f>
        <v>COUNTRY</v>
      </c>
      <c r="F2" s="5" t="str">
        <f>IFERROR(__xludf.DUMMYFUNCTION("""COMPUTED_VALUE"""),"EVENT")</f>
        <v>EVENT</v>
      </c>
      <c r="G2" s="5" t="str">
        <f>IFERROR(__xludf.DUMMYFUNCTION("""COMPUTED_VALUE"""),"PLACE")</f>
        <v>PLACE</v>
      </c>
      <c r="H2" s="5" t="str">
        <f>IFERROR(__xludf.DUMMYFUNCTION("""COMPUTED_VALUE"""),"LOCATION")</f>
        <v>LOCATION</v>
      </c>
      <c r="I2" s="5" t="str">
        <f>IFERROR(__xludf.DUMMYFUNCTION("""COMPUTED_VALUE"""),"ON LIST")</f>
        <v>ON LIST</v>
      </c>
      <c r="J2" s="5" t="str">
        <f>IFERROR(__xludf.DUMMYFUNCTION("""COMPUTED_VALUE"""),"OFF PRO LIST")</f>
        <v>OFF PRO LIST</v>
      </c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7"/>
      <c r="B3" s="8"/>
      <c r="C3" s="8"/>
      <c r="D3" s="8"/>
      <c r="E3" s="8" t="str">
        <f>IFERROR(__xludf.DUMMYFUNCTION("""COMPUTED_VALUE"""),"USA")</f>
        <v>USA</v>
      </c>
      <c r="F3" s="8"/>
      <c r="G3" s="8"/>
      <c r="H3" s="8" t="str">
        <f>IFERROR(__xludf.DUMMYFUNCTION("""COMPUTED_VALUE"""),"NE REGIONAL BS 38")</f>
        <v>NE REGIONAL BS 38</v>
      </c>
      <c r="I3" s="9">
        <f>IFERROR(__xludf.DUMMYFUNCTION("""COMPUTED_VALUE"""),45444.0)</f>
        <v>45444</v>
      </c>
      <c r="J3" s="9">
        <f>IFERROR(__xludf.DUMMYFUNCTION("""COMPUTED_VALUE"""),46539.0)</f>
        <v>46539</v>
      </c>
      <c r="K3" s="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7" t="str">
        <f>IFERROR(__xludf.DUMMYFUNCTION("""COMPUTED_VALUE"""),"ABAT")</f>
        <v>ABAT</v>
      </c>
      <c r="B4" s="8" t="str">
        <f>IFERROR(__xludf.DUMMYFUNCTION("""COMPUTED_VALUE"""),"KRISTOPHER")</f>
        <v>KRISTOPHER</v>
      </c>
      <c r="C4" s="8" t="str">
        <f>IFERROR(__xludf.DUMMYFUNCTION("""COMPUTED_VALUE"""),"TALLAHASEE")</f>
        <v>TALLAHASEE</v>
      </c>
      <c r="D4" s="8" t="str">
        <f>IFERROR(__xludf.DUMMYFUNCTION("""COMPUTED_VALUE"""),"FL")</f>
        <v>FL</v>
      </c>
      <c r="E4" s="8" t="str">
        <f>IFERROR(__xludf.DUMMYFUNCTION("""COMPUTED_VALUE"""),"USA")</f>
        <v>USA</v>
      </c>
      <c r="F4" s="8" t="str">
        <f>IFERROR(__xludf.DUMMYFUNCTION("""COMPUTED_VALUE"""),"PRO/AM CRICKET")</f>
        <v>PRO/AM CRICKET</v>
      </c>
      <c r="G4" s="8" t="str">
        <f>IFERROR(__xludf.DUMMYFUNCTION("""COMPUTED_VALUE"""),"1")</f>
        <v>1</v>
      </c>
      <c r="H4" s="8" t="str">
        <f>IFERROR(__xludf.DUMMYFUNCTION("""COMPUTED_VALUE"""),"BS 37 FL")</f>
        <v>BS 37 FL</v>
      </c>
      <c r="I4" s="9">
        <f>IFERROR(__xludf.DUMMYFUNCTION("""COMPUTED_VALUE"""),45078.0)</f>
        <v>45078</v>
      </c>
      <c r="J4" s="9">
        <f>IFERROR(__xludf.DUMMYFUNCTION("""COMPUTED_VALUE"""),46174.0)</f>
        <v>46174</v>
      </c>
      <c r="K4" s="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7" t="str">
        <f>IFERROR(__xludf.DUMMYFUNCTION("""COMPUTED_VALUE"""),"Abboud")</f>
        <v>Abboud</v>
      </c>
      <c r="B5" s="8" t="str">
        <f>IFERROR(__xludf.DUMMYFUNCTION("""COMPUTED_VALUE"""),"Michael")</f>
        <v>Michael</v>
      </c>
      <c r="C5" s="8" t="str">
        <f>IFERROR(__xludf.DUMMYFUNCTION("""COMPUTED_VALUE"""),"Drums")</f>
        <v>Drums</v>
      </c>
      <c r="D5" s="8" t="str">
        <f>IFERROR(__xludf.DUMMYFUNCTION("""COMPUTED_VALUE"""),"PA")</f>
        <v>PA</v>
      </c>
      <c r="E5" s="8" t="str">
        <f>IFERROR(__xludf.DUMMYFUNCTION("""COMPUTED_VALUE"""),"USA")</f>
        <v>USA</v>
      </c>
      <c r="F5" s="8" t="str">
        <f>IFERROR(__xludf.DUMMYFUNCTION("""COMPUTED_VALUE"""),"Pro/AA Top Gun Triples")</f>
        <v>Pro/AA Top Gun Triples</v>
      </c>
      <c r="G5" s="8" t="str">
        <f>IFERROR(__xludf.DUMMYFUNCTION("""COMPUTED_VALUE"""),"3rd")</f>
        <v>3rd</v>
      </c>
      <c r="H5" s="8" t="str">
        <f>IFERROR(__xludf.DUMMYFUNCTION("""COMPUTED_VALUE"""),"Known Ability")</f>
        <v>Known Ability</v>
      </c>
      <c r="I5" s="9">
        <f>IFERROR(__xludf.DUMMYFUNCTION("""COMPUTED_VALUE"""),40330.0)</f>
        <v>40330</v>
      </c>
      <c r="J5" s="9">
        <f>IFERROR(__xludf.DUMMYFUNCTION("""COMPUTED_VALUE"""),47635.0)</f>
        <v>47635</v>
      </c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7" t="str">
        <f>IFERROR(__xludf.DUMMYFUNCTION("""COMPUTED_VALUE"""),"Adams")</f>
        <v>Adams</v>
      </c>
      <c r="B6" s="8" t="str">
        <f>IFERROR(__xludf.DUMMYFUNCTION("""COMPUTED_VALUE"""),"Tim")</f>
        <v>Tim</v>
      </c>
      <c r="C6" s="8" t="str">
        <f>IFERROR(__xludf.DUMMYFUNCTION("""COMPUTED_VALUE"""),"Ruskin")</f>
        <v>Ruskin</v>
      </c>
      <c r="D6" s="8" t="str">
        <f>IFERROR(__xludf.DUMMYFUNCTION("""COMPUTED_VALUE"""),"FL")</f>
        <v>FL</v>
      </c>
      <c r="E6" s="8" t="str">
        <f>IFERROR(__xludf.DUMMYFUNCTION("""COMPUTED_VALUE"""),"USA")</f>
        <v>USA</v>
      </c>
      <c r="F6" s="8" t="str">
        <f>IFERROR(__xludf.DUMMYFUNCTION("""COMPUTED_VALUE"""),"TopGun Singles")</f>
        <v>TopGun Singles</v>
      </c>
      <c r="G6" s="8" t="str">
        <f>IFERROR(__xludf.DUMMYFUNCTION("""COMPUTED_VALUE"""),"2nd")</f>
        <v>2nd</v>
      </c>
      <c r="H6" s="8" t="str">
        <f>IFERROR(__xludf.DUMMYFUNCTION("""COMPUTED_VALUE"""),"BS 38 Finals")</f>
        <v>BS 38 Finals</v>
      </c>
      <c r="I6" s="9">
        <f>IFERROR(__xludf.DUMMYFUNCTION("""COMPUTED_VALUE"""),45444.0)</f>
        <v>45444</v>
      </c>
      <c r="J6" s="9">
        <f>IFERROR(__xludf.DUMMYFUNCTION("""COMPUTED_VALUE"""),46539.0)</f>
        <v>46539</v>
      </c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7" t="str">
        <f>IFERROR(__xludf.DUMMYFUNCTION("""COMPUTED_VALUE"""),"ADAMS")</f>
        <v>ADAMS</v>
      </c>
      <c r="B7" s="8" t="str">
        <f>IFERROR(__xludf.DUMMYFUNCTION("""COMPUTED_VALUE"""),"JEFFERY")</f>
        <v>JEFFERY</v>
      </c>
      <c r="C7" s="8" t="str">
        <f>IFERROR(__xludf.DUMMYFUNCTION("""COMPUTED_VALUE"""),"NORTH PORT")</f>
        <v>NORTH PORT</v>
      </c>
      <c r="D7" s="8" t="str">
        <f>IFERROR(__xludf.DUMMYFUNCTION("""COMPUTED_VALUE"""),"FL")</f>
        <v>FL</v>
      </c>
      <c r="E7" s="8" t="str">
        <f>IFERROR(__xludf.DUMMYFUNCTION("""COMPUTED_VALUE"""),"USA")</f>
        <v>USA</v>
      </c>
      <c r="F7" s="8" t="str">
        <f>IFERROR(__xludf.DUMMYFUNCTION("""COMPUTED_VALUE"""),"MIXED TRIPLES 701")</f>
        <v>MIXED TRIPLES 701</v>
      </c>
      <c r="G7" s="8" t="str">
        <f>IFERROR(__xludf.DUMMYFUNCTION("""COMPUTED_VALUE"""),"1ST")</f>
        <v>1ST</v>
      </c>
      <c r="H7" s="8" t="str">
        <f>IFERROR(__xludf.DUMMYFUNCTION("""COMPUTED_VALUE"""),"BS 36 REGIONAL FL")</f>
        <v>BS 36 REGIONAL FL</v>
      </c>
      <c r="I7" s="9">
        <f>IFERROR(__xludf.DUMMYFUNCTION("""COMPUTED_VALUE"""),44713.0)</f>
        <v>44713</v>
      </c>
      <c r="J7" s="9">
        <f>IFERROR(__xludf.DUMMYFUNCTION("""COMPUTED_VALUE"""),45809.0)</f>
        <v>45809</v>
      </c>
      <c r="K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7" t="str">
        <f>IFERROR(__xludf.DUMMYFUNCTION("""COMPUTED_VALUE"""),"ALCALA")</f>
        <v>ALCALA</v>
      </c>
      <c r="B8" s="8" t="str">
        <f>IFERROR(__xludf.DUMMYFUNCTION("""COMPUTED_VALUE"""),"KIX")</f>
        <v>KIX</v>
      </c>
      <c r="C8" s="8" t="str">
        <f>IFERROR(__xludf.DUMMYFUNCTION("""COMPUTED_VALUE"""),"YOUNGSTOWN")</f>
        <v>YOUNGSTOWN</v>
      </c>
      <c r="D8" s="8" t="str">
        <f>IFERROR(__xludf.DUMMYFUNCTION("""COMPUTED_VALUE"""),"AZ")</f>
        <v>AZ</v>
      </c>
      <c r="E8" s="8" t="str">
        <f>IFERROR(__xludf.DUMMYFUNCTION("""COMPUTED_VALUE"""),"USA")</f>
        <v>USA</v>
      </c>
      <c r="F8" s="8" t="str">
        <f>IFERROR(__xludf.DUMMYFUNCTION("""COMPUTED_VALUE"""),"MEN CRICKET DBLS")</f>
        <v>MEN CRICKET DBLS</v>
      </c>
      <c r="G8" s="8" t="str">
        <f>IFERROR(__xludf.DUMMYFUNCTION("""COMPUTED_VALUE"""),"1")</f>
        <v>1</v>
      </c>
      <c r="H8" s="8" t="str">
        <f>IFERROR(__xludf.DUMMYFUNCTION("""COMPUTED_VALUE"""),"BS 37 FINALS")</f>
        <v>BS 37 FINALS</v>
      </c>
      <c r="I8" s="9">
        <f>IFERROR(__xludf.DUMMYFUNCTION("""COMPUTED_VALUE"""),45078.0)</f>
        <v>45078</v>
      </c>
      <c r="J8" s="9">
        <f>IFERROR(__xludf.DUMMYFUNCTION("""COMPUTED_VALUE"""),46174.0)</f>
        <v>46174</v>
      </c>
      <c r="K8" s="1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7" t="str">
        <f>IFERROR(__xludf.DUMMYFUNCTION("""COMPUTED_VALUE"""),"Algeria")</f>
        <v>Algeria</v>
      </c>
      <c r="B9" s="8" t="str">
        <f>IFERROR(__xludf.DUMMYFUNCTION("""COMPUTED_VALUE"""),"Michael")</f>
        <v>Michael</v>
      </c>
      <c r="C9" s="8" t="str">
        <f>IFERROR(__xludf.DUMMYFUNCTION("""COMPUTED_VALUE"""),"Kingsville")</f>
        <v>Kingsville</v>
      </c>
      <c r="D9" s="8" t="str">
        <f>IFERROR(__xludf.DUMMYFUNCTION("""COMPUTED_VALUE"""),"TX")</f>
        <v>TX</v>
      </c>
      <c r="E9" s="8" t="str">
        <f>IFERROR(__xludf.DUMMYFUNCTION("""COMPUTED_VALUE"""),"USA")</f>
        <v>USA</v>
      </c>
      <c r="F9" s="8" t="str">
        <f>IFERROR(__xludf.DUMMYFUNCTION("""COMPUTED_VALUE"""),"Men Cricket Dbls")</f>
        <v>Men Cricket Dbls</v>
      </c>
      <c r="G9" s="8" t="str">
        <f>IFERROR(__xludf.DUMMYFUNCTION("""COMPUTED_VALUE"""),"2nd")</f>
        <v>2nd</v>
      </c>
      <c r="H9" s="8" t="str">
        <f>IFERROR(__xludf.DUMMYFUNCTION("""COMPUTED_VALUE"""),"TX BS 38")</f>
        <v>TX BS 38</v>
      </c>
      <c r="I9" s="9">
        <f>IFERROR(__xludf.DUMMYFUNCTION("""COMPUTED_VALUE"""),45444.0)</f>
        <v>45444</v>
      </c>
      <c r="J9" s="9">
        <f>IFERROR(__xludf.DUMMYFUNCTION("""COMPUTED_VALUE"""),46539.0)</f>
        <v>46539</v>
      </c>
      <c r="K9" s="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7" t="str">
        <f>IFERROR(__xludf.DUMMYFUNCTION("""COMPUTED_VALUE"""),"Allen")</f>
        <v>Allen</v>
      </c>
      <c r="B10" s="8" t="str">
        <f>IFERROR(__xludf.DUMMYFUNCTION("""COMPUTED_VALUE"""),"Wilbert")</f>
        <v>Wilbert</v>
      </c>
      <c r="C10" s="8" t="str">
        <f>IFERROR(__xludf.DUMMYFUNCTION("""COMPUTED_VALUE"""),"Utica")</f>
        <v>Utica</v>
      </c>
      <c r="D10" s="8" t="str">
        <f>IFERROR(__xludf.DUMMYFUNCTION("""COMPUTED_VALUE"""),"NY")</f>
        <v>NY</v>
      </c>
      <c r="E10" s="8"/>
      <c r="F10" s="8" t="str">
        <f>IFERROR(__xludf.DUMMYFUNCTION("""COMPUTED_VALUE"""),"Men Singles")</f>
        <v>Men Singles</v>
      </c>
      <c r="G10" s="8" t="str">
        <f>IFERROR(__xludf.DUMMYFUNCTION("""COMPUTED_VALUE"""),"3rd")</f>
        <v>3rd</v>
      </c>
      <c r="H10" s="8" t="str">
        <f>IFERROR(__xludf.DUMMYFUNCTION("""COMPUTED_VALUE"""),"NY BS 38")</f>
        <v>NY BS 38</v>
      </c>
      <c r="I10" s="9">
        <f>IFERROR(__xludf.DUMMYFUNCTION("""COMPUTED_VALUE"""),45444.0)</f>
        <v>45444</v>
      </c>
      <c r="J10" s="9">
        <f>IFERROR(__xludf.DUMMYFUNCTION("""COMPUTED_VALUE"""),46539.0)</f>
        <v>46539</v>
      </c>
      <c r="K10" s="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7" t="str">
        <f>IFERROR(__xludf.DUMMYFUNCTION("""COMPUTED_VALUE"""),"ALLISON")</f>
        <v>ALLISON</v>
      </c>
      <c r="B11" s="8" t="str">
        <f>IFERROR(__xludf.DUMMYFUNCTION("""COMPUTED_VALUE"""),"MOODY")</f>
        <v>MOODY</v>
      </c>
      <c r="C11" s="8" t="str">
        <f>IFERROR(__xludf.DUMMYFUNCTION("""COMPUTED_VALUE"""),"LAS VEGAS")</f>
        <v>LAS VEGAS</v>
      </c>
      <c r="D11" s="8" t="str">
        <f>IFERROR(__xludf.DUMMYFUNCTION("""COMPUTED_VALUE"""),"NV")</f>
        <v>NV</v>
      </c>
      <c r="E11" s="8" t="str">
        <f>IFERROR(__xludf.DUMMYFUNCTION("""COMPUTED_VALUE"""),"USA")</f>
        <v>USA</v>
      </c>
      <c r="F11" s="8" t="str">
        <f>IFERROR(__xludf.DUMMYFUNCTION("""COMPUTED_VALUE"""),"MENS DBLS 501")</f>
        <v>MENS DBLS 501</v>
      </c>
      <c r="G11" s="8" t="str">
        <f>IFERROR(__xludf.DUMMYFUNCTION("""COMPUTED_VALUE"""),"2ND")</f>
        <v>2ND</v>
      </c>
      <c r="H11" s="8" t="str">
        <f>IFERROR(__xludf.DUMMYFUNCTION("""COMPUTED_VALUE"""),"BS 36 REGIONAL AZ")</f>
        <v>BS 36 REGIONAL AZ</v>
      </c>
      <c r="I11" s="9">
        <f>IFERROR(__xludf.DUMMYFUNCTION("""COMPUTED_VALUE"""),44713.0)</f>
        <v>44713</v>
      </c>
      <c r="J11" s="9">
        <f>IFERROR(__xludf.DUMMYFUNCTION("""COMPUTED_VALUE"""),45809.0)</f>
        <v>45809</v>
      </c>
      <c r="K11" s="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7" t="str">
        <f>IFERROR(__xludf.DUMMYFUNCTION("""COMPUTED_VALUE"""),"AMMERMAN")</f>
        <v>AMMERMAN</v>
      </c>
      <c r="B12" s="8" t="str">
        <f>IFERROR(__xludf.DUMMYFUNCTION("""COMPUTED_VALUE"""),"JASON")</f>
        <v>JASON</v>
      </c>
      <c r="C12" s="8" t="str">
        <f>IFERROR(__xludf.DUMMYFUNCTION("""COMPUTED_VALUE"""),"ANKENY")</f>
        <v>ANKENY</v>
      </c>
      <c r="D12" s="8" t="str">
        <f>IFERROR(__xludf.DUMMYFUNCTION("""COMPUTED_VALUE"""),"IA")</f>
        <v>IA</v>
      </c>
      <c r="E12" s="8" t="str">
        <f>IFERROR(__xludf.DUMMYFUNCTION("""COMPUTED_VALUE"""),"USA")</f>
        <v>USA</v>
      </c>
      <c r="F12" s="8" t="str">
        <f>IFERROR(__xludf.DUMMYFUNCTION("""COMPUTED_VALUE"""),"MENS DBLS 501")</f>
        <v>MENS DBLS 501</v>
      </c>
      <c r="G12" s="8" t="str">
        <f>IFERROR(__xludf.DUMMYFUNCTION("""COMPUTED_VALUE"""),"3RD")</f>
        <v>3RD</v>
      </c>
      <c r="H12" s="8" t="str">
        <f>IFERROR(__xludf.DUMMYFUNCTION("""COMPUTED_VALUE"""),"BS 36 REGIONAL NE")</f>
        <v>BS 36 REGIONAL NE</v>
      </c>
      <c r="I12" s="9">
        <f>IFERROR(__xludf.DUMMYFUNCTION("""COMPUTED_VALUE"""),44713.0)</f>
        <v>44713</v>
      </c>
      <c r="J12" s="9">
        <f>IFERROR(__xludf.DUMMYFUNCTION("""COMPUTED_VALUE"""),45809.0)</f>
        <v>45809</v>
      </c>
      <c r="K12" s="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7" t="str">
        <f>IFERROR(__xludf.DUMMYFUNCTION("""COMPUTED_VALUE"""),"Ancar")</f>
        <v>Ancar</v>
      </c>
      <c r="B13" s="8" t="str">
        <f>IFERROR(__xludf.DUMMYFUNCTION("""COMPUTED_VALUE"""),"Joshua")</f>
        <v>Joshua</v>
      </c>
      <c r="C13" s="8" t="str">
        <f>IFERROR(__xludf.DUMMYFUNCTION("""COMPUTED_VALUE"""),"Van Cleave")</f>
        <v>Van Cleave</v>
      </c>
      <c r="D13" s="8" t="str">
        <f>IFERROR(__xludf.DUMMYFUNCTION("""COMPUTED_VALUE"""),"MS")</f>
        <v>MS</v>
      </c>
      <c r="E13" s="8"/>
      <c r="F13" s="8" t="str">
        <f>IFERROR(__xludf.DUMMYFUNCTION("""COMPUTED_VALUE"""),"Men Singles")</f>
        <v>Men Singles</v>
      </c>
      <c r="G13" s="8" t="str">
        <f>IFERROR(__xludf.DUMMYFUNCTION("""COMPUTED_VALUE"""),"1st")</f>
        <v>1st</v>
      </c>
      <c r="H13" s="8" t="str">
        <f>IFERROR(__xludf.DUMMYFUNCTION("""COMPUTED_VALUE"""),"TX BS 38")</f>
        <v>TX BS 38</v>
      </c>
      <c r="I13" s="9">
        <f>IFERROR(__xludf.DUMMYFUNCTION("""COMPUTED_VALUE"""),45444.0)</f>
        <v>45444</v>
      </c>
      <c r="J13" s="9">
        <f>IFERROR(__xludf.DUMMYFUNCTION("""COMPUTED_VALUE"""),46539.0)</f>
        <v>46539</v>
      </c>
      <c r="K13" s="1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7" t="str">
        <f>IFERROR(__xludf.DUMMYFUNCTION("""COMPUTED_VALUE"""),"Anderson")</f>
        <v>Anderson</v>
      </c>
      <c r="B14" s="8" t="str">
        <f>IFERROR(__xludf.DUMMYFUNCTION("""COMPUTED_VALUE"""),"Jeremy")</f>
        <v>Jeremy</v>
      </c>
      <c r="C14" s="8" t="str">
        <f>IFERROR(__xludf.DUMMYFUNCTION("""COMPUTED_VALUE"""),"Merrill")</f>
        <v>Merrill</v>
      </c>
      <c r="D14" s="8" t="str">
        <f>IFERROR(__xludf.DUMMYFUNCTION("""COMPUTED_VALUE"""),"WI")</f>
        <v>WI</v>
      </c>
      <c r="E14" s="8"/>
      <c r="F14" s="8" t="str">
        <f>IFERROR(__xludf.DUMMYFUNCTION("""COMPUTED_VALUE"""),"Men Cricket Dbls")</f>
        <v>Men Cricket Dbls</v>
      </c>
      <c r="G14" s="8" t="str">
        <f>IFERROR(__xludf.DUMMYFUNCTION("""COMPUTED_VALUE"""),"3rd")</f>
        <v>3rd</v>
      </c>
      <c r="H14" s="8" t="str">
        <f>IFERROR(__xludf.DUMMYFUNCTION("""COMPUTED_VALUE"""),"PA BS 38")</f>
        <v>PA BS 38</v>
      </c>
      <c r="I14" s="9">
        <f>IFERROR(__xludf.DUMMYFUNCTION("""COMPUTED_VALUE"""),45444.0)</f>
        <v>45444</v>
      </c>
      <c r="J14" s="9">
        <f>IFERROR(__xludf.DUMMYFUNCTION("""COMPUTED_VALUE"""),46539.0)</f>
        <v>46539</v>
      </c>
      <c r="K14" s="1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7" t="str">
        <f>IFERROR(__xludf.DUMMYFUNCTION("""COMPUTED_VALUE"""),"Anthony")</f>
        <v>Anthony</v>
      </c>
      <c r="B15" s="8" t="str">
        <f>IFERROR(__xludf.DUMMYFUNCTION("""COMPUTED_VALUE"""),"Andre")</f>
        <v>Andre</v>
      </c>
      <c r="C15" s="8" t="str">
        <f>IFERROR(__xludf.DUMMYFUNCTION("""COMPUTED_VALUE"""),"Tacoma")</f>
        <v>Tacoma</v>
      </c>
      <c r="D15" s="8" t="str">
        <f>IFERROR(__xludf.DUMMYFUNCTION("""COMPUTED_VALUE"""),"WA")</f>
        <v>WA</v>
      </c>
      <c r="E15" s="8"/>
      <c r="F15" s="8" t="str">
        <f>IFERROR(__xludf.DUMMYFUNCTION("""COMPUTED_VALUE"""),"Men Singles")</f>
        <v>Men Singles</v>
      </c>
      <c r="G15" s="8" t="str">
        <f>IFERROR(__xludf.DUMMYFUNCTION("""COMPUTED_VALUE"""),"2nd")</f>
        <v>2nd</v>
      </c>
      <c r="H15" s="8" t="str">
        <f>IFERROR(__xludf.DUMMYFUNCTION("""COMPUTED_VALUE"""),"WA BS 38")</f>
        <v>WA BS 38</v>
      </c>
      <c r="I15" s="9">
        <f>IFERROR(__xludf.DUMMYFUNCTION("""COMPUTED_VALUE"""),45444.0)</f>
        <v>45444</v>
      </c>
      <c r="J15" s="9">
        <f>IFERROR(__xludf.DUMMYFUNCTION("""COMPUTED_VALUE"""),46539.0)</f>
        <v>46539</v>
      </c>
      <c r="K15" s="1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7" t="str">
        <f>IFERROR(__xludf.DUMMYFUNCTION("""COMPUTED_VALUE"""),"ARANA")</f>
        <v>ARANA</v>
      </c>
      <c r="B16" s="8" t="str">
        <f>IFERROR(__xludf.DUMMYFUNCTION("""COMPUTED_VALUE"""),"JONATHAN")</f>
        <v>JONATHAN</v>
      </c>
      <c r="C16" s="8" t="str">
        <f>IFERROR(__xludf.DUMMYFUNCTION("""COMPUTED_VALUE"""),"WATERBURY")</f>
        <v>WATERBURY</v>
      </c>
      <c r="D16" s="8" t="str">
        <f>IFERROR(__xludf.DUMMYFUNCTION("""COMPUTED_VALUE"""),"CT")</f>
        <v>CT</v>
      </c>
      <c r="E16" s="8" t="str">
        <f>IFERROR(__xludf.DUMMYFUNCTION("""COMPUTED_VALUE"""),"USA")</f>
        <v>USA</v>
      </c>
      <c r="F16" s="8" t="str">
        <f>IFERROR(__xludf.DUMMYFUNCTION("""COMPUTED_VALUE"""),"MENS DBLS CRICKET")</f>
        <v>MENS DBLS CRICKET</v>
      </c>
      <c r="G16" s="8" t="str">
        <f>IFERROR(__xludf.DUMMYFUNCTION("""COMPUTED_VALUE"""),"3RD")</f>
        <v>3RD</v>
      </c>
      <c r="H16" s="8" t="str">
        <f>IFERROR(__xludf.DUMMYFUNCTION("""COMPUTED_VALUE"""),"BS 36 REGIONAL FL")</f>
        <v>BS 36 REGIONAL FL</v>
      </c>
      <c r="I16" s="9">
        <f>IFERROR(__xludf.DUMMYFUNCTION("""COMPUTED_VALUE"""),44713.0)</f>
        <v>44713</v>
      </c>
      <c r="J16" s="9">
        <f>IFERROR(__xludf.DUMMYFUNCTION("""COMPUTED_VALUE"""),45809.0)</f>
        <v>45809</v>
      </c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7" t="str">
        <f>IFERROR(__xludf.DUMMYFUNCTION("""COMPUTED_VALUE"""),"ARBLE")</f>
        <v>ARBLE</v>
      </c>
      <c r="B17" s="8" t="str">
        <f>IFERROR(__xludf.DUMMYFUNCTION("""COMPUTED_VALUE"""),"JASON")</f>
        <v>JASON</v>
      </c>
      <c r="C17" s="8" t="str">
        <f>IFERROR(__xludf.DUMMYFUNCTION("""COMPUTED_VALUE"""),"ERIE")</f>
        <v>ERIE</v>
      </c>
      <c r="D17" s="8" t="str">
        <f>IFERROR(__xludf.DUMMYFUNCTION("""COMPUTED_VALUE"""),"PA")</f>
        <v>PA</v>
      </c>
      <c r="E17" s="8" t="str">
        <f>IFERROR(__xludf.DUMMYFUNCTION("""COMPUTED_VALUE"""),"USA")</f>
        <v>USA</v>
      </c>
      <c r="F17" s="8" t="str">
        <f>IFERROR(__xludf.DUMMYFUNCTION("""COMPUTED_VALUE"""),"MENS DBLS 501")</f>
        <v>MENS DBLS 501</v>
      </c>
      <c r="G17" s="8" t="str">
        <f>IFERROR(__xludf.DUMMYFUNCTION("""COMPUTED_VALUE"""),"3RD")</f>
        <v>3RD</v>
      </c>
      <c r="H17" s="8" t="str">
        <f>IFERROR(__xludf.DUMMYFUNCTION("""COMPUTED_VALUE"""),"BS 36 REGIONAL NY")</f>
        <v>BS 36 REGIONAL NY</v>
      </c>
      <c r="I17" s="9">
        <f>IFERROR(__xludf.DUMMYFUNCTION("""COMPUTED_VALUE"""),44713.0)</f>
        <v>44713</v>
      </c>
      <c r="J17" s="9">
        <f>IFERROR(__xludf.DUMMYFUNCTION("""COMPUTED_VALUE"""),45809.0)</f>
        <v>45809</v>
      </c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7" t="str">
        <f>IFERROR(__xludf.DUMMYFUNCTION("""COMPUTED_VALUE"""),"Asato")</f>
        <v>Asato</v>
      </c>
      <c r="B18" s="8" t="str">
        <f>IFERROR(__xludf.DUMMYFUNCTION("""COMPUTED_VALUE"""),"Brandon")</f>
        <v>Brandon</v>
      </c>
      <c r="C18" s="8" t="str">
        <f>IFERROR(__xludf.DUMMYFUNCTION("""COMPUTED_VALUE"""),"Jacksonville")</f>
        <v>Jacksonville</v>
      </c>
      <c r="D18" s="8" t="str">
        <f>IFERROR(__xludf.DUMMYFUNCTION("""COMPUTED_VALUE"""),"FL")</f>
        <v>FL</v>
      </c>
      <c r="E18" s="8" t="str">
        <f>IFERROR(__xludf.DUMMYFUNCTION("""COMPUTED_VALUE"""),"USA")</f>
        <v>USA</v>
      </c>
      <c r="F18" s="8" t="str">
        <f>IFERROR(__xludf.DUMMYFUNCTION("""COMPUTED_VALUE"""),"TopGun A/AA Triples")</f>
        <v>TopGun A/AA Triples</v>
      </c>
      <c r="G18" s="8" t="str">
        <f>IFERROR(__xludf.DUMMYFUNCTION("""COMPUTED_VALUE"""),"2nd")</f>
        <v>2nd</v>
      </c>
      <c r="H18" s="8" t="str">
        <f>IFERROR(__xludf.DUMMYFUNCTION("""COMPUTED_VALUE"""),"BullShooter 34 Finals")</f>
        <v>BullShooter 34 Finals</v>
      </c>
      <c r="I18" s="9">
        <f>IFERROR(__xludf.DUMMYFUNCTION("""COMPUTED_VALUE"""),43617.0)</f>
        <v>43617</v>
      </c>
      <c r="J18" s="9">
        <f>IFERROR(__xludf.DUMMYFUNCTION("""COMPUTED_VALUE"""),45809.0)</f>
        <v>45809</v>
      </c>
      <c r="K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7" t="str">
        <f>IFERROR(__xludf.DUMMYFUNCTION("""COMPUTED_VALUE"""),"Asenavage")</f>
        <v>Asenavage</v>
      </c>
      <c r="B19" s="8" t="str">
        <f>IFERROR(__xludf.DUMMYFUNCTION("""COMPUTED_VALUE"""),"AL")</f>
        <v>AL</v>
      </c>
      <c r="C19" s="8" t="str">
        <f>IFERROR(__xludf.DUMMYFUNCTION("""COMPUTED_VALUE"""),"Grand Junction")</f>
        <v>Grand Junction</v>
      </c>
      <c r="D19" s="8" t="str">
        <f>IFERROR(__xludf.DUMMYFUNCTION("""COMPUTED_VALUE"""),"CO")</f>
        <v>CO</v>
      </c>
      <c r="E19" s="8"/>
      <c r="F19" s="8" t="str">
        <f>IFERROR(__xludf.DUMMYFUNCTION("""COMPUTED_VALUE"""),"Men Cricket Dbls")</f>
        <v>Men Cricket Dbls</v>
      </c>
      <c r="G19" s="8" t="str">
        <f>IFERROR(__xludf.DUMMYFUNCTION("""COMPUTED_VALUE"""),"3rd")</f>
        <v>3rd</v>
      </c>
      <c r="H19" s="8" t="str">
        <f>IFERROR(__xludf.DUMMYFUNCTION("""COMPUTED_VALUE"""),"AZ BS 38")</f>
        <v>AZ BS 38</v>
      </c>
      <c r="I19" s="9">
        <f>IFERROR(__xludf.DUMMYFUNCTION("""COMPUTED_VALUE"""),45444.0)</f>
        <v>45444</v>
      </c>
      <c r="J19" s="9">
        <f>IFERROR(__xludf.DUMMYFUNCTION("""COMPUTED_VALUE"""),46539.0)</f>
        <v>46539</v>
      </c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7" t="str">
        <f>IFERROR(__xludf.DUMMYFUNCTION("""COMPUTED_VALUE"""),"ASHER")</f>
        <v>ASHER</v>
      </c>
      <c r="B20" s="8" t="str">
        <f>IFERROR(__xludf.DUMMYFUNCTION("""COMPUTED_VALUE"""),"PAUL")</f>
        <v>PAUL</v>
      </c>
      <c r="C20" s="8" t="str">
        <f>IFERROR(__xludf.DUMMYFUNCTION("""COMPUTED_VALUE"""),"CALLAHAN")</f>
        <v>CALLAHAN</v>
      </c>
      <c r="D20" s="8" t="str">
        <f>IFERROR(__xludf.DUMMYFUNCTION("""COMPUTED_VALUE"""),"FL")</f>
        <v>FL</v>
      </c>
      <c r="E20" s="8" t="str">
        <f>IFERROR(__xludf.DUMMYFUNCTION("""COMPUTED_VALUE"""),"USA")</f>
        <v>USA</v>
      </c>
      <c r="F20" s="8" t="str">
        <f>IFERROR(__xludf.DUMMYFUNCTION("""COMPUTED_VALUE"""),"MENS DBLS 501")</f>
        <v>MENS DBLS 501</v>
      </c>
      <c r="G20" s="8" t="str">
        <f>IFERROR(__xludf.DUMMYFUNCTION("""COMPUTED_VALUE"""),"1ST")</f>
        <v>1ST</v>
      </c>
      <c r="H20" s="8" t="str">
        <f>IFERROR(__xludf.DUMMYFUNCTION("""COMPUTED_VALUE"""),"BS 36 REGIONAL SC")</f>
        <v>BS 36 REGIONAL SC</v>
      </c>
      <c r="I20" s="9">
        <f>IFERROR(__xludf.DUMMYFUNCTION("""COMPUTED_VALUE"""),44713.0)</f>
        <v>44713</v>
      </c>
      <c r="J20" s="9">
        <f>IFERROR(__xludf.DUMMYFUNCTION("""COMPUTED_VALUE"""),45809.0)</f>
        <v>45809</v>
      </c>
      <c r="K20" s="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7" t="str">
        <f>IFERROR(__xludf.DUMMYFUNCTION("""COMPUTED_VALUE"""),"ATAYA")</f>
        <v>ATAYA</v>
      </c>
      <c r="B21" s="8" t="str">
        <f>IFERROR(__xludf.DUMMYFUNCTION("""COMPUTED_VALUE"""),"PATRICK")</f>
        <v>PATRICK</v>
      </c>
      <c r="C21" s="8" t="str">
        <f>IFERROR(__xludf.DUMMYFUNCTION("""COMPUTED_VALUE"""),"COPLEY")</f>
        <v>COPLEY</v>
      </c>
      <c r="D21" s="8" t="str">
        <f>IFERROR(__xludf.DUMMYFUNCTION("""COMPUTED_VALUE"""),"OH")</f>
        <v>OH</v>
      </c>
      <c r="E21" s="8" t="str">
        <f>IFERROR(__xludf.DUMMYFUNCTION("""COMPUTED_VALUE"""),"USA")</f>
        <v>USA</v>
      </c>
      <c r="F21" s="8" t="str">
        <f>IFERROR(__xludf.DUMMYFUNCTION("""COMPUTED_VALUE"""),"Pro 501 Dbls")</f>
        <v>Pro 501 Dbls</v>
      </c>
      <c r="G21" s="8" t="str">
        <f>IFERROR(__xludf.DUMMYFUNCTION("""COMPUTED_VALUE"""),"2nd")</f>
        <v>2nd</v>
      </c>
      <c r="H21" s="8" t="str">
        <f>IFERROR(__xludf.DUMMYFUNCTION("""COMPUTED_VALUE"""),"MI BS 38")</f>
        <v>MI BS 38</v>
      </c>
      <c r="I21" s="9">
        <f>IFERROR(__xludf.DUMMYFUNCTION("""COMPUTED_VALUE"""),45444.0)</f>
        <v>45444</v>
      </c>
      <c r="J21" s="9">
        <f>IFERROR(__xludf.DUMMYFUNCTION("""COMPUTED_VALUE"""),46539.0)</f>
        <v>46539</v>
      </c>
      <c r="K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7" t="str">
        <f>IFERROR(__xludf.DUMMYFUNCTION("""COMPUTED_VALUE"""),"Bagley")</f>
        <v>Bagley</v>
      </c>
      <c r="B22" s="8" t="str">
        <f>IFERROR(__xludf.DUMMYFUNCTION("""COMPUTED_VALUE"""),"Tim")</f>
        <v>Tim</v>
      </c>
      <c r="C22" s="8" t="str">
        <f>IFERROR(__xludf.DUMMYFUNCTION("""COMPUTED_VALUE"""),"Adairsville")</f>
        <v>Adairsville</v>
      </c>
      <c r="D22" s="8" t="str">
        <f>IFERROR(__xludf.DUMMYFUNCTION("""COMPUTED_VALUE"""),"GA")</f>
        <v>GA</v>
      </c>
      <c r="E22" s="8"/>
      <c r="F22" s="8" t="str">
        <f>IFERROR(__xludf.DUMMYFUNCTION("""COMPUTED_VALUE"""),"Pro Singles")</f>
        <v>Pro Singles</v>
      </c>
      <c r="G22" s="8" t="str">
        <f>IFERROR(__xludf.DUMMYFUNCTION("""COMPUTED_VALUE"""),"3rd")</f>
        <v>3rd</v>
      </c>
      <c r="H22" s="8" t="str">
        <f>IFERROR(__xludf.DUMMYFUNCTION("""COMPUTED_VALUE"""),"TN BS 38")</f>
        <v>TN BS 38</v>
      </c>
      <c r="I22" s="9">
        <f>IFERROR(__xludf.DUMMYFUNCTION("""COMPUTED_VALUE"""),45444.0)</f>
        <v>45444</v>
      </c>
      <c r="J22" s="9">
        <f>IFERROR(__xludf.DUMMYFUNCTION("""COMPUTED_VALUE"""),46539.0)</f>
        <v>46539</v>
      </c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7" t="str">
        <f>IFERROR(__xludf.DUMMYFUNCTION("""COMPUTED_VALUE"""),"Bair")</f>
        <v>Bair</v>
      </c>
      <c r="B23" s="8" t="str">
        <f>IFERROR(__xludf.DUMMYFUNCTION("""COMPUTED_VALUE"""),"Barry")</f>
        <v>Barry</v>
      </c>
      <c r="C23" s="8" t="str">
        <f>IFERROR(__xludf.DUMMYFUNCTION("""COMPUTED_VALUE"""),"Norway")</f>
        <v>Norway</v>
      </c>
      <c r="D23" s="8" t="str">
        <f>IFERROR(__xludf.DUMMYFUNCTION("""COMPUTED_VALUE"""),"SC")</f>
        <v>SC</v>
      </c>
      <c r="E23" s="8"/>
      <c r="F23" s="8" t="str">
        <f>IFERROR(__xludf.DUMMYFUNCTION("""COMPUTED_VALUE"""),"Pro/Am")</f>
        <v>Pro/Am</v>
      </c>
      <c r="G23" s="8" t="str">
        <f>IFERROR(__xludf.DUMMYFUNCTION("""COMPUTED_VALUE"""),"3rd")</f>
        <v>3rd</v>
      </c>
      <c r="H23" s="8" t="str">
        <f>IFERROR(__xludf.DUMMYFUNCTION("""COMPUTED_VALUE"""),"SC BS 38")</f>
        <v>SC BS 38</v>
      </c>
      <c r="I23" s="9">
        <f>IFERROR(__xludf.DUMMYFUNCTION("""COMPUTED_VALUE"""),45444.0)</f>
        <v>45444</v>
      </c>
      <c r="J23" s="9">
        <f>IFERROR(__xludf.DUMMYFUNCTION("""COMPUTED_VALUE"""),46539.0)</f>
        <v>46539</v>
      </c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7" t="str">
        <f>IFERROR(__xludf.DUMMYFUNCTION("""COMPUTED_VALUE"""),"Baker")</f>
        <v>Baker</v>
      </c>
      <c r="B24" s="8" t="str">
        <f>IFERROR(__xludf.DUMMYFUNCTION("""COMPUTED_VALUE"""),"Matthew")</f>
        <v>Matthew</v>
      </c>
      <c r="C24" s="8" t="str">
        <f>IFERROR(__xludf.DUMMYFUNCTION("""COMPUTED_VALUE"""),"Bryan")</f>
        <v>Bryan</v>
      </c>
      <c r="D24" s="8" t="str">
        <f>IFERROR(__xludf.DUMMYFUNCTION("""COMPUTED_VALUE"""),"TX")</f>
        <v>TX</v>
      </c>
      <c r="E24" s="8"/>
      <c r="F24" s="8" t="str">
        <f>IFERROR(__xludf.DUMMYFUNCTION("""COMPUTED_VALUE"""),"Men 501 Dbls")</f>
        <v>Men 501 Dbls</v>
      </c>
      <c r="G24" s="8" t="str">
        <f>IFERROR(__xludf.DUMMYFUNCTION("""COMPUTED_VALUE"""),"3rd")</f>
        <v>3rd</v>
      </c>
      <c r="H24" s="8" t="str">
        <f>IFERROR(__xludf.DUMMYFUNCTION("""COMPUTED_VALUE"""),"TX BS 38")</f>
        <v>TX BS 38</v>
      </c>
      <c r="I24" s="9">
        <f>IFERROR(__xludf.DUMMYFUNCTION("""COMPUTED_VALUE"""),45444.0)</f>
        <v>45444</v>
      </c>
      <c r="J24" s="9">
        <f>IFERROR(__xludf.DUMMYFUNCTION("""COMPUTED_VALUE"""),46539.0)</f>
        <v>46539</v>
      </c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7" t="str">
        <f>IFERROR(__xludf.DUMMYFUNCTION("""COMPUTED_VALUE"""),"Baker")</f>
        <v>Baker</v>
      </c>
      <c r="B25" s="8" t="str">
        <f>IFERROR(__xludf.DUMMYFUNCTION("""COMPUTED_VALUE"""),"William")</f>
        <v>William</v>
      </c>
      <c r="C25" s="8" t="str">
        <f>IFERROR(__xludf.DUMMYFUNCTION("""COMPUTED_VALUE"""),"Naalehu")</f>
        <v>Naalehu</v>
      </c>
      <c r="D25" s="8" t="str">
        <f>IFERROR(__xludf.DUMMYFUNCTION("""COMPUTED_VALUE"""),"HI")</f>
        <v>HI</v>
      </c>
      <c r="E25" s="8"/>
      <c r="F25" s="8" t="str">
        <f>IFERROR(__xludf.DUMMYFUNCTION("""COMPUTED_VALUE"""),"Men 501 Dbls")</f>
        <v>Men 501 Dbls</v>
      </c>
      <c r="G25" s="8" t="str">
        <f>IFERROR(__xludf.DUMMYFUNCTION("""COMPUTED_VALUE"""),"1st")</f>
        <v>1st</v>
      </c>
      <c r="H25" s="8" t="str">
        <f>IFERROR(__xludf.DUMMYFUNCTION("""COMPUTED_VALUE"""),"NY BS 38")</f>
        <v>NY BS 38</v>
      </c>
      <c r="I25" s="9">
        <f>IFERROR(__xludf.DUMMYFUNCTION("""COMPUTED_VALUE"""),45444.0)</f>
        <v>45444</v>
      </c>
      <c r="J25" s="9">
        <f>IFERROR(__xludf.DUMMYFUNCTION("""COMPUTED_VALUE"""),46539.0)</f>
        <v>46539</v>
      </c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7" t="str">
        <f>IFERROR(__xludf.DUMMYFUNCTION("""COMPUTED_VALUE"""),"Baker")</f>
        <v>Baker</v>
      </c>
      <c r="B26" s="8" t="str">
        <f>IFERROR(__xludf.DUMMYFUNCTION("""COMPUTED_VALUE"""),"Brent")</f>
        <v>Brent</v>
      </c>
      <c r="C26" s="8" t="str">
        <f>IFERROR(__xludf.DUMMYFUNCTION("""COMPUTED_VALUE"""),"St Peters")</f>
        <v>St Peters</v>
      </c>
      <c r="D26" s="8" t="str">
        <f>IFERROR(__xludf.DUMMYFUNCTION("""COMPUTED_VALUE"""),"MO")</f>
        <v>MO</v>
      </c>
      <c r="E26" s="8"/>
      <c r="F26" s="8" t="str">
        <f>IFERROR(__xludf.DUMMYFUNCTION("""COMPUTED_VALUE"""),"Men Cricket Dbls")</f>
        <v>Men Cricket Dbls</v>
      </c>
      <c r="G26" s="8" t="str">
        <f>IFERROR(__xludf.DUMMYFUNCTION("""COMPUTED_VALUE"""),"2nd")</f>
        <v>2nd</v>
      </c>
      <c r="H26" s="8" t="str">
        <f>IFERROR(__xludf.DUMMYFUNCTION("""COMPUTED_VALUE"""),"NE BS 38")</f>
        <v>NE BS 38</v>
      </c>
      <c r="I26" s="9">
        <f>IFERROR(__xludf.DUMMYFUNCTION("""COMPUTED_VALUE"""),45444.0)</f>
        <v>45444</v>
      </c>
      <c r="J26" s="9">
        <f>IFERROR(__xludf.DUMMYFUNCTION("""COMPUTED_VALUE"""),46539.0)</f>
        <v>46539</v>
      </c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7" t="str">
        <f>IFERROR(__xludf.DUMMYFUNCTION("""COMPUTED_VALUE"""),"Ball")</f>
        <v>Ball</v>
      </c>
      <c r="B27" s="8" t="str">
        <f>IFERROR(__xludf.DUMMYFUNCTION("""COMPUTED_VALUE"""),"Justin")</f>
        <v>Justin</v>
      </c>
      <c r="C27" s="8" t="str">
        <f>IFERROR(__xludf.DUMMYFUNCTION("""COMPUTED_VALUE"""),"Cincinatti")</f>
        <v>Cincinatti</v>
      </c>
      <c r="D27" s="8" t="str">
        <f>IFERROR(__xludf.DUMMYFUNCTION("""COMPUTED_VALUE"""),"OH")</f>
        <v>OH</v>
      </c>
      <c r="E27" s="8"/>
      <c r="F27" s="8" t="str">
        <f>IFERROR(__xludf.DUMMYFUNCTION("""COMPUTED_VALUE"""),"Men 501 Dbls")</f>
        <v>Men 501 Dbls</v>
      </c>
      <c r="G27" s="8" t="str">
        <f>IFERROR(__xludf.DUMMYFUNCTION("""COMPUTED_VALUE"""),"3rd")</f>
        <v>3rd</v>
      </c>
      <c r="H27" s="8" t="str">
        <f>IFERROR(__xludf.DUMMYFUNCTION("""COMPUTED_VALUE"""),"OH BS 38")</f>
        <v>OH BS 38</v>
      </c>
      <c r="I27" s="9">
        <f>IFERROR(__xludf.DUMMYFUNCTION("""COMPUTED_VALUE"""),45444.0)</f>
        <v>45444</v>
      </c>
      <c r="J27" s="9">
        <f>IFERROR(__xludf.DUMMYFUNCTION("""COMPUTED_VALUE"""),46539.0)</f>
        <v>46539</v>
      </c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7" t="str">
        <f>IFERROR(__xludf.DUMMYFUNCTION("""COMPUTED_VALUE"""),"Baran")</f>
        <v>Baran</v>
      </c>
      <c r="B28" s="8" t="str">
        <f>IFERROR(__xludf.DUMMYFUNCTION("""COMPUTED_VALUE"""),"Vincent")</f>
        <v>Vincent</v>
      </c>
      <c r="C28" s="8" t="str">
        <f>IFERROR(__xludf.DUMMYFUNCTION("""COMPUTED_VALUE"""),"Beaver Meadows")</f>
        <v>Beaver Meadows</v>
      </c>
      <c r="D28" s="8" t="str">
        <f>IFERROR(__xludf.DUMMYFUNCTION("""COMPUTED_VALUE"""),"PA")</f>
        <v>PA</v>
      </c>
      <c r="E28" s="8"/>
      <c r="F28" s="8" t="str">
        <f>IFERROR(__xludf.DUMMYFUNCTION("""COMPUTED_VALUE"""),"Men Cricket Dbls")</f>
        <v>Men Cricket Dbls</v>
      </c>
      <c r="G28" s="8" t="str">
        <f>IFERROR(__xludf.DUMMYFUNCTION("""COMPUTED_VALUE"""),"2nd")</f>
        <v>2nd</v>
      </c>
      <c r="H28" s="8" t="str">
        <f>IFERROR(__xludf.DUMMYFUNCTION("""COMPUTED_VALUE"""),"FL BS 38")</f>
        <v>FL BS 38</v>
      </c>
      <c r="I28" s="9">
        <f>IFERROR(__xludf.DUMMYFUNCTION("""COMPUTED_VALUE"""),45444.0)</f>
        <v>45444</v>
      </c>
      <c r="J28" s="9">
        <f>IFERROR(__xludf.DUMMYFUNCTION("""COMPUTED_VALUE"""),46539.0)</f>
        <v>46539</v>
      </c>
      <c r="K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7" t="str">
        <f>IFERROR(__xludf.DUMMYFUNCTION("""COMPUTED_VALUE"""),"Barnes")</f>
        <v>Barnes</v>
      </c>
      <c r="B29" s="8" t="str">
        <f>IFERROR(__xludf.DUMMYFUNCTION("""COMPUTED_VALUE"""),"Kirk-Bandit")</f>
        <v>Kirk-Bandit</v>
      </c>
      <c r="C29" s="8"/>
      <c r="D29" s="8"/>
      <c r="E29" s="8" t="str">
        <f>IFERROR(__xludf.DUMMYFUNCTION("""COMPUTED_VALUE"""),"USA")</f>
        <v>USA</v>
      </c>
      <c r="F29" s="8" t="str">
        <f>IFERROR(__xludf.DUMMYFUNCTION("""COMPUTED_VALUE"""),"Mixed Dbls Cricket")</f>
        <v>Mixed Dbls Cricket</v>
      </c>
      <c r="G29" s="8" t="str">
        <f>IFERROR(__xludf.DUMMYFUNCTION("""COMPUTED_VALUE"""),"3rd")</f>
        <v>3rd</v>
      </c>
      <c r="H29" s="8" t="str">
        <f>IFERROR(__xludf.DUMMYFUNCTION("""COMPUTED_VALUE"""),"BS 38 Finals")</f>
        <v>BS 38 Finals</v>
      </c>
      <c r="I29" s="9">
        <f>IFERROR(__xludf.DUMMYFUNCTION("""COMPUTED_VALUE"""),45444.0)</f>
        <v>45444</v>
      </c>
      <c r="J29" s="9">
        <f>IFERROR(__xludf.DUMMYFUNCTION("""COMPUTED_VALUE"""),46539.0)</f>
        <v>46539</v>
      </c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7" t="str">
        <f>IFERROR(__xludf.DUMMYFUNCTION("""COMPUTED_VALUE"""),"BARNETT")</f>
        <v>BARNETT</v>
      </c>
      <c r="B30" s="8" t="str">
        <f>IFERROR(__xludf.DUMMYFUNCTION("""COMPUTED_VALUE"""),"SCOTT")</f>
        <v>SCOTT</v>
      </c>
      <c r="C30" s="8" t="str">
        <f>IFERROR(__xludf.DUMMYFUNCTION("""COMPUTED_VALUE"""),"SACRAMENTO")</f>
        <v>SACRAMENTO</v>
      </c>
      <c r="D30" s="8" t="str">
        <f>IFERROR(__xludf.DUMMYFUNCTION("""COMPUTED_VALUE"""),"CA")</f>
        <v>CA</v>
      </c>
      <c r="E30" s="8" t="str">
        <f>IFERROR(__xludf.DUMMYFUNCTION("""COMPUTED_VALUE"""),"USA")</f>
        <v>USA</v>
      </c>
      <c r="F30" s="8" t="str">
        <f>IFERROR(__xludf.DUMMYFUNCTION("""COMPUTED_VALUE"""),"PRO 501 DBLS")</f>
        <v>PRO 501 DBLS</v>
      </c>
      <c r="G30" s="8" t="str">
        <f>IFERROR(__xludf.DUMMYFUNCTION("""COMPUTED_VALUE"""),"3")</f>
        <v>3</v>
      </c>
      <c r="H30" s="8" t="str">
        <f>IFERROR(__xludf.DUMMYFUNCTION("""COMPUTED_VALUE"""),"BS 37 CA")</f>
        <v>BS 37 CA</v>
      </c>
      <c r="I30" s="9">
        <f>IFERROR(__xludf.DUMMYFUNCTION("""COMPUTED_VALUE"""),45078.0)</f>
        <v>45078</v>
      </c>
      <c r="J30" s="9">
        <f>IFERROR(__xludf.DUMMYFUNCTION("""COMPUTED_VALUE"""),46174.0)</f>
        <v>46174</v>
      </c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7" t="str">
        <f>IFERROR(__xludf.DUMMYFUNCTION("""COMPUTED_VALUE"""),"Barry")</f>
        <v>Barry</v>
      </c>
      <c r="B31" s="8" t="str">
        <f>IFERROR(__xludf.DUMMYFUNCTION("""COMPUTED_VALUE"""),"Avery")</f>
        <v>Avery</v>
      </c>
      <c r="C31" s="8"/>
      <c r="D31" s="8"/>
      <c r="E31" s="8" t="str">
        <f>IFERROR(__xludf.DUMMYFUNCTION("""COMPUTED_VALUE"""),"USA")</f>
        <v>USA</v>
      </c>
      <c r="F31" s="8"/>
      <c r="G31" s="8"/>
      <c r="H31" s="8" t="str">
        <f>IFERROR(__xludf.DUMMYFUNCTION("""COMPUTED_VALUE"""),"ADO Top 25 2020")</f>
        <v>ADO Top 25 2020</v>
      </c>
      <c r="I31" s="9">
        <f>IFERROR(__xludf.DUMMYFUNCTION("""COMPUTED_VALUE"""),44348.0)</f>
        <v>44348</v>
      </c>
      <c r="J31" s="9">
        <f>IFERROR(__xludf.DUMMYFUNCTION("""COMPUTED_VALUE"""),46539.0)</f>
        <v>46539</v>
      </c>
      <c r="K31" s="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7" t="str">
        <f>IFERROR(__xludf.DUMMYFUNCTION("""COMPUTED_VALUE"""),"Bauer")</f>
        <v>Bauer</v>
      </c>
      <c r="B32" s="8" t="str">
        <f>IFERROR(__xludf.DUMMYFUNCTION("""COMPUTED_VALUE"""),"Jonny")</f>
        <v>Jonny</v>
      </c>
      <c r="C32" s="8" t="str">
        <f>IFERROR(__xludf.DUMMYFUNCTION("""COMPUTED_VALUE"""),"Wallace")</f>
        <v>Wallace</v>
      </c>
      <c r="D32" s="8" t="str">
        <f>IFERROR(__xludf.DUMMYFUNCTION("""COMPUTED_VALUE"""),"ID")</f>
        <v>ID</v>
      </c>
      <c r="E32" s="8"/>
      <c r="F32" s="8" t="str">
        <f>IFERROR(__xludf.DUMMYFUNCTION("""COMPUTED_VALUE"""),"Men Cricket Dbls")</f>
        <v>Men Cricket Dbls</v>
      </c>
      <c r="G32" s="8" t="str">
        <f>IFERROR(__xludf.DUMMYFUNCTION("""COMPUTED_VALUE"""),"2nd")</f>
        <v>2nd</v>
      </c>
      <c r="H32" s="8" t="str">
        <f>IFERROR(__xludf.DUMMYFUNCTION("""COMPUTED_VALUE"""),"WA BS 38")</f>
        <v>WA BS 38</v>
      </c>
      <c r="I32" s="9">
        <f>IFERROR(__xludf.DUMMYFUNCTION("""COMPUTED_VALUE"""),45444.0)</f>
        <v>45444</v>
      </c>
      <c r="J32" s="9">
        <f>IFERROR(__xludf.DUMMYFUNCTION("""COMPUTED_VALUE"""),46539.0)</f>
        <v>46539</v>
      </c>
      <c r="K32" s="10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7" t="str">
        <f>IFERROR(__xludf.DUMMYFUNCTION("""COMPUTED_VALUE"""),"Beard")</f>
        <v>Beard</v>
      </c>
      <c r="B33" s="8" t="str">
        <f>IFERROR(__xludf.DUMMYFUNCTION("""COMPUTED_VALUE"""),"Christian")</f>
        <v>Christian</v>
      </c>
      <c r="C33" s="8" t="str">
        <f>IFERROR(__xludf.DUMMYFUNCTION("""COMPUTED_VALUE"""),"Yuma")</f>
        <v>Yuma</v>
      </c>
      <c r="D33" s="8" t="str">
        <f>IFERROR(__xludf.DUMMYFUNCTION("""COMPUTED_VALUE"""),"AZ")</f>
        <v>AZ</v>
      </c>
      <c r="E33" s="8"/>
      <c r="F33" s="8" t="str">
        <f>IFERROR(__xludf.DUMMYFUNCTION("""COMPUTED_VALUE"""),"Pro Cricket Dbls")</f>
        <v>Pro Cricket Dbls</v>
      </c>
      <c r="G33" s="8" t="str">
        <f>IFERROR(__xludf.DUMMYFUNCTION("""COMPUTED_VALUE"""),"1st")</f>
        <v>1st</v>
      </c>
      <c r="H33" s="8" t="str">
        <f>IFERROR(__xludf.DUMMYFUNCTION("""COMPUTED_VALUE"""),"AZ BS 38")</f>
        <v>AZ BS 38</v>
      </c>
      <c r="I33" s="9">
        <f>IFERROR(__xludf.DUMMYFUNCTION("""COMPUTED_VALUE"""),45444.0)</f>
        <v>45444</v>
      </c>
      <c r="J33" s="9">
        <f>IFERROR(__xludf.DUMMYFUNCTION("""COMPUTED_VALUE"""),46539.0)</f>
        <v>46539</v>
      </c>
      <c r="K33" s="1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7" t="str">
        <f>IFERROR(__xludf.DUMMYFUNCTION("""COMPUTED_VALUE"""),"BEAVERS")</f>
        <v>BEAVERS</v>
      </c>
      <c r="B34" s="8" t="str">
        <f>IFERROR(__xludf.DUMMYFUNCTION("""COMPUTED_VALUE"""),"GRANT")</f>
        <v>GRANT</v>
      </c>
      <c r="C34" s="8" t="str">
        <f>IFERROR(__xludf.DUMMYFUNCTION("""COMPUTED_VALUE"""),"YORKTOWN")</f>
        <v>YORKTOWN</v>
      </c>
      <c r="D34" s="8" t="str">
        <f>IFERROR(__xludf.DUMMYFUNCTION("""COMPUTED_VALUE"""),"VA")</f>
        <v>VA</v>
      </c>
      <c r="E34" s="8" t="str">
        <f>IFERROR(__xludf.DUMMYFUNCTION("""COMPUTED_VALUE"""),"USA")</f>
        <v>USA</v>
      </c>
      <c r="F34" s="8" t="str">
        <f>IFERROR(__xludf.DUMMYFUNCTION("""COMPUTED_VALUE"""),"MEN SINGLES")</f>
        <v>MEN SINGLES</v>
      </c>
      <c r="G34" s="8" t="str">
        <f>IFERROR(__xludf.DUMMYFUNCTION("""COMPUTED_VALUE"""),"3")</f>
        <v>3</v>
      </c>
      <c r="H34" s="8" t="str">
        <f>IFERROR(__xludf.DUMMYFUNCTION("""COMPUTED_VALUE"""),"BS 37 SC")</f>
        <v>BS 37 SC</v>
      </c>
      <c r="I34" s="9">
        <f>IFERROR(__xludf.DUMMYFUNCTION("""COMPUTED_VALUE"""),45078.0)</f>
        <v>45078</v>
      </c>
      <c r="J34" s="9">
        <f>IFERROR(__xludf.DUMMYFUNCTION("""COMPUTED_VALUE"""),46174.0)</f>
        <v>46174</v>
      </c>
      <c r="K34" s="1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7" t="str">
        <f>IFERROR(__xludf.DUMMYFUNCTION("""COMPUTED_VALUE"""),"BECKER")</f>
        <v>BECKER</v>
      </c>
      <c r="B35" s="8" t="str">
        <f>IFERROR(__xludf.DUMMYFUNCTION("""COMPUTED_VALUE"""),"CHAD")</f>
        <v>CHAD</v>
      </c>
      <c r="C35" s="8" t="str">
        <f>IFERROR(__xludf.DUMMYFUNCTION("""COMPUTED_VALUE"""),"MANSFIELD")</f>
        <v>MANSFIELD</v>
      </c>
      <c r="D35" s="8" t="str">
        <f>IFERROR(__xludf.DUMMYFUNCTION("""COMPUTED_VALUE"""),"OH")</f>
        <v>OH</v>
      </c>
      <c r="E35" s="8" t="str">
        <f>IFERROR(__xludf.DUMMYFUNCTION("""COMPUTED_VALUE"""),"USA")</f>
        <v>USA</v>
      </c>
      <c r="F35" s="8" t="str">
        <f>IFERROR(__xludf.DUMMYFUNCTION("""COMPUTED_VALUE"""),"PRO 501 DBLS")</f>
        <v>PRO 501 DBLS</v>
      </c>
      <c r="G35" s="8" t="str">
        <f>IFERROR(__xludf.DUMMYFUNCTION("""COMPUTED_VALUE"""),"3")</f>
        <v>3</v>
      </c>
      <c r="H35" s="8" t="str">
        <f>IFERROR(__xludf.DUMMYFUNCTION("""COMPUTED_VALUE"""),"BS 37 PA")</f>
        <v>BS 37 PA</v>
      </c>
      <c r="I35" s="9">
        <f>IFERROR(__xludf.DUMMYFUNCTION("""COMPUTED_VALUE"""),45078.0)</f>
        <v>45078</v>
      </c>
      <c r="J35" s="9">
        <f>IFERROR(__xludf.DUMMYFUNCTION("""COMPUTED_VALUE"""),46174.0)</f>
        <v>46174</v>
      </c>
      <c r="K35" s="1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7" t="str">
        <f>IFERROR(__xludf.DUMMYFUNCTION("""COMPUTED_VALUE"""),"Bella")</f>
        <v>Bella</v>
      </c>
      <c r="B36" s="8" t="str">
        <f>IFERROR(__xludf.DUMMYFUNCTION("""COMPUTED_VALUE"""),"Matt")</f>
        <v>Matt</v>
      </c>
      <c r="C36" s="8"/>
      <c r="D36" s="8"/>
      <c r="E36" s="8"/>
      <c r="F36" s="8" t="str">
        <f>IFERROR(__xludf.DUMMYFUNCTION("""COMPUTED_VALUE"""),"TopGun Mixed")</f>
        <v>TopGun Mixed</v>
      </c>
      <c r="G36" s="8" t="str">
        <f>IFERROR(__xludf.DUMMYFUNCTION("""COMPUTED_VALUE"""),"1st")</f>
        <v>1st</v>
      </c>
      <c r="H36" s="8" t="str">
        <f>IFERROR(__xludf.DUMMYFUNCTION("""COMPUTED_VALUE"""),"BS 38 Finals")</f>
        <v>BS 38 Finals</v>
      </c>
      <c r="I36" s="9">
        <f>IFERROR(__xludf.DUMMYFUNCTION("""COMPUTED_VALUE"""),45444.0)</f>
        <v>45444</v>
      </c>
      <c r="J36" s="9">
        <f>IFERROR(__xludf.DUMMYFUNCTION("""COMPUTED_VALUE"""),46539.0)</f>
        <v>46539</v>
      </c>
      <c r="K36" s="10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7" t="str">
        <f>IFERROR(__xludf.DUMMYFUNCTION("""COMPUTED_VALUE"""),"Bengston")</f>
        <v>Bengston</v>
      </c>
      <c r="B37" s="8" t="str">
        <f>IFERROR(__xludf.DUMMYFUNCTION("""COMPUTED_VALUE"""),"Lee")</f>
        <v>Lee</v>
      </c>
      <c r="C37" s="8" t="str">
        <f>IFERROR(__xludf.DUMMYFUNCTION("""COMPUTED_VALUE"""),"Marion")</f>
        <v>Marion</v>
      </c>
      <c r="D37" s="8" t="str">
        <f>IFERROR(__xludf.DUMMYFUNCTION("""COMPUTED_VALUE"""),"MT")</f>
        <v>MT</v>
      </c>
      <c r="E37" s="8"/>
      <c r="F37" s="8" t="str">
        <f>IFERROR(__xludf.DUMMYFUNCTION("""COMPUTED_VALUE"""),"Pro Singles")</f>
        <v>Pro Singles</v>
      </c>
      <c r="G37" s="8" t="str">
        <f>IFERROR(__xludf.DUMMYFUNCTION("""COMPUTED_VALUE"""),"1st")</f>
        <v>1st</v>
      </c>
      <c r="H37" s="8" t="str">
        <f>IFERROR(__xludf.DUMMYFUNCTION("""COMPUTED_VALUE"""),"WA BS 38")</f>
        <v>WA BS 38</v>
      </c>
      <c r="I37" s="9">
        <f>IFERROR(__xludf.DUMMYFUNCTION("""COMPUTED_VALUE"""),45444.0)</f>
        <v>45444</v>
      </c>
      <c r="J37" s="9">
        <f>IFERROR(__xludf.DUMMYFUNCTION("""COMPUTED_VALUE"""),46539.0)</f>
        <v>46539</v>
      </c>
      <c r="K37" s="10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7" t="str">
        <f>IFERROR(__xludf.DUMMYFUNCTION("""COMPUTED_VALUE"""),"Bennet")</f>
        <v>Bennet</v>
      </c>
      <c r="B38" s="8" t="str">
        <f>IFERROR(__xludf.DUMMYFUNCTION("""COMPUTED_VALUE"""),"Taylor")</f>
        <v>Taylor</v>
      </c>
      <c r="C38" s="8" t="str">
        <f>IFERROR(__xludf.DUMMYFUNCTION("""COMPUTED_VALUE"""),"Rochester")</f>
        <v>Rochester</v>
      </c>
      <c r="D38" s="8" t="str">
        <f>IFERROR(__xludf.DUMMYFUNCTION("""COMPUTED_VALUE"""),"NY")</f>
        <v>NY</v>
      </c>
      <c r="E38" s="8"/>
      <c r="F38" s="8" t="str">
        <f>IFERROR(__xludf.DUMMYFUNCTION("""COMPUTED_VALUE"""),"Men Singles")</f>
        <v>Men Singles</v>
      </c>
      <c r="G38" s="8" t="str">
        <f>IFERROR(__xludf.DUMMYFUNCTION("""COMPUTED_VALUE"""),"1st")</f>
        <v>1st</v>
      </c>
      <c r="H38" s="8" t="str">
        <f>IFERROR(__xludf.DUMMYFUNCTION("""COMPUTED_VALUE"""),"NY BS 38")</f>
        <v>NY BS 38</v>
      </c>
      <c r="I38" s="9">
        <f>IFERROR(__xludf.DUMMYFUNCTION("""COMPUTED_VALUE"""),45444.0)</f>
        <v>45444</v>
      </c>
      <c r="J38" s="9">
        <f>IFERROR(__xludf.DUMMYFUNCTION("""COMPUTED_VALUE"""),46539.0)</f>
        <v>46539</v>
      </c>
      <c r="K38" s="10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7" t="str">
        <f>IFERROR(__xludf.DUMMYFUNCTION("""COMPUTED_VALUE"""),"BENNINGTON")</f>
        <v>BENNINGTON</v>
      </c>
      <c r="B39" s="8" t="str">
        <f>IFERROR(__xludf.DUMMYFUNCTION("""COMPUTED_VALUE"""),"SEAN")</f>
        <v>SEAN</v>
      </c>
      <c r="C39" s="8" t="str">
        <f>IFERROR(__xludf.DUMMYFUNCTION("""COMPUTED_VALUE"""),"ORANGE PARK")</f>
        <v>ORANGE PARK</v>
      </c>
      <c r="D39" s="8" t="str">
        <f>IFERROR(__xludf.DUMMYFUNCTION("""COMPUTED_VALUE"""),"FL")</f>
        <v>FL</v>
      </c>
      <c r="E39" s="8" t="str">
        <f>IFERROR(__xludf.DUMMYFUNCTION("""COMPUTED_VALUE"""),"USA")</f>
        <v>USA</v>
      </c>
      <c r="F39" s="8" t="str">
        <f>IFERROR(__xludf.DUMMYFUNCTION("""COMPUTED_VALUE"""),"MEN CRICKET DBLS")</f>
        <v>MEN CRICKET DBLS</v>
      </c>
      <c r="G39" s="8" t="str">
        <f>IFERROR(__xludf.DUMMYFUNCTION("""COMPUTED_VALUE"""),"2")</f>
        <v>2</v>
      </c>
      <c r="H39" s="8" t="str">
        <f>IFERROR(__xludf.DUMMYFUNCTION("""COMPUTED_VALUE"""),"BS 37 NE")</f>
        <v>BS 37 NE</v>
      </c>
      <c r="I39" s="9">
        <f>IFERROR(__xludf.DUMMYFUNCTION("""COMPUTED_VALUE"""),45078.0)</f>
        <v>45078</v>
      </c>
      <c r="J39" s="9">
        <f>IFERROR(__xludf.DUMMYFUNCTION("""COMPUTED_VALUE"""),46174.0)</f>
        <v>46174</v>
      </c>
      <c r="K39" s="10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7" t="str">
        <f>IFERROR(__xludf.DUMMYFUNCTION("""COMPUTED_VALUE"""),"BENSON")</f>
        <v>BENSON</v>
      </c>
      <c r="B40" s="8" t="str">
        <f>IFERROR(__xludf.DUMMYFUNCTION("""COMPUTED_VALUE"""),"DOMINIC")</f>
        <v>DOMINIC</v>
      </c>
      <c r="C40" s="8" t="str">
        <f>IFERROR(__xludf.DUMMYFUNCTION("""COMPUTED_VALUE"""),"HARBOR CITY")</f>
        <v>HARBOR CITY</v>
      </c>
      <c r="D40" s="8" t="str">
        <f>IFERROR(__xludf.DUMMYFUNCTION("""COMPUTED_VALUE"""),"PA")</f>
        <v>PA</v>
      </c>
      <c r="E40" s="8" t="str">
        <f>IFERROR(__xludf.DUMMYFUNCTION("""COMPUTED_VALUE"""),"USA")</f>
        <v>USA</v>
      </c>
      <c r="F40" s="8" t="str">
        <f>IFERROR(__xludf.DUMMYFUNCTION("""COMPUTED_VALUE"""),"MENS DBLS 501")</f>
        <v>MENS DBLS 501</v>
      </c>
      <c r="G40" s="8" t="str">
        <f>IFERROR(__xludf.DUMMYFUNCTION("""COMPUTED_VALUE"""),"3RD")</f>
        <v>3RD</v>
      </c>
      <c r="H40" s="8" t="str">
        <f>IFERROR(__xludf.DUMMYFUNCTION("""COMPUTED_VALUE"""),"BS 36 REGIONAL NY")</f>
        <v>BS 36 REGIONAL NY</v>
      </c>
      <c r="I40" s="9">
        <f>IFERROR(__xludf.DUMMYFUNCTION("""COMPUTED_VALUE"""),44713.0)</f>
        <v>44713</v>
      </c>
      <c r="J40" s="9">
        <f>IFERROR(__xludf.DUMMYFUNCTION("""COMPUTED_VALUE"""),45809.0)</f>
        <v>45809</v>
      </c>
      <c r="K40" s="10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7" t="str">
        <f>IFERROR(__xludf.DUMMYFUNCTION("""COMPUTED_VALUE"""),"Bernard")</f>
        <v>Bernard</v>
      </c>
      <c r="B41" s="8" t="str">
        <f>IFERROR(__xludf.DUMMYFUNCTION("""COMPUTED_VALUE"""),"Robert")</f>
        <v>Robert</v>
      </c>
      <c r="C41" s="8" t="str">
        <f>IFERROR(__xludf.DUMMYFUNCTION("""COMPUTED_VALUE"""),"Loves Park")</f>
        <v>Loves Park</v>
      </c>
      <c r="D41" s="8" t="str">
        <f>IFERROR(__xludf.DUMMYFUNCTION("""COMPUTED_VALUE"""),"IL")</f>
        <v>IL</v>
      </c>
      <c r="E41" s="8" t="str">
        <f>IFERROR(__xludf.DUMMYFUNCTION("""COMPUTED_VALUE"""),"USA")</f>
        <v>USA</v>
      </c>
      <c r="F41" s="8" t="str">
        <f>IFERROR(__xludf.DUMMYFUNCTION("""COMPUTED_VALUE"""),"Pro 501 Singles")</f>
        <v>Pro 501 Singles</v>
      </c>
      <c r="G41" s="8" t="str">
        <f>IFERROR(__xludf.DUMMYFUNCTION("""COMPUTED_VALUE"""),"2nd")</f>
        <v>2nd</v>
      </c>
      <c r="H41" s="8" t="str">
        <f>IFERROR(__xludf.DUMMYFUNCTION("""COMPUTED_VALUE"""),"BullShooter 34 Finals")</f>
        <v>BullShooter 34 Finals</v>
      </c>
      <c r="I41" s="9">
        <f>IFERROR(__xludf.DUMMYFUNCTION("""COMPUTED_VALUE"""),43617.0)</f>
        <v>43617</v>
      </c>
      <c r="J41" s="9">
        <f>IFERROR(__xludf.DUMMYFUNCTION("""COMPUTED_VALUE"""),45809.0)</f>
        <v>45809</v>
      </c>
      <c r="K41" s="10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7" t="str">
        <f>IFERROR(__xludf.DUMMYFUNCTION("""COMPUTED_VALUE"""),"BILGER")</f>
        <v>BILGER</v>
      </c>
      <c r="B42" s="8" t="str">
        <f>IFERROR(__xludf.DUMMYFUNCTION("""COMPUTED_VALUE"""),"LEVI")</f>
        <v>LEVI</v>
      </c>
      <c r="C42" s="8" t="str">
        <f>IFERROR(__xludf.DUMMYFUNCTION("""COMPUTED_VALUE"""),"MCVEYTOWN")</f>
        <v>MCVEYTOWN</v>
      </c>
      <c r="D42" s="8" t="str">
        <f>IFERROR(__xludf.DUMMYFUNCTION("""COMPUTED_VALUE"""),"PA")</f>
        <v>PA</v>
      </c>
      <c r="E42" s="8" t="str">
        <f>IFERROR(__xludf.DUMMYFUNCTION("""COMPUTED_VALUE"""),"USA")</f>
        <v>USA</v>
      </c>
      <c r="F42" s="8" t="str">
        <f>IFERROR(__xludf.DUMMYFUNCTION("""COMPUTED_VALUE"""),"PRO 501 DBLS")</f>
        <v>PRO 501 DBLS</v>
      </c>
      <c r="G42" s="8" t="str">
        <f>IFERROR(__xludf.DUMMYFUNCTION("""COMPUTED_VALUE"""),"2")</f>
        <v>2</v>
      </c>
      <c r="H42" s="8" t="str">
        <f>IFERROR(__xludf.DUMMYFUNCTION("""COMPUTED_VALUE"""),"BS 37 PA")</f>
        <v>BS 37 PA</v>
      </c>
      <c r="I42" s="9">
        <f>IFERROR(__xludf.DUMMYFUNCTION("""COMPUTED_VALUE"""),45078.0)</f>
        <v>45078</v>
      </c>
      <c r="J42" s="9">
        <f>IFERROR(__xludf.DUMMYFUNCTION("""COMPUTED_VALUE"""),46174.0)</f>
        <v>46174</v>
      </c>
      <c r="K42" s="10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7" t="str">
        <f>IFERROR(__xludf.DUMMYFUNCTION("""COMPUTED_VALUE"""),"BLACKBURN")</f>
        <v>BLACKBURN</v>
      </c>
      <c r="B43" s="8" t="str">
        <f>IFERROR(__xludf.DUMMYFUNCTION("""COMPUTED_VALUE"""),"MATHEW")</f>
        <v>MATHEW</v>
      </c>
      <c r="C43" s="8" t="str">
        <f>IFERROR(__xludf.DUMMYFUNCTION("""COMPUTED_VALUE"""),"FOLLANSBEE")</f>
        <v>FOLLANSBEE</v>
      </c>
      <c r="D43" s="8" t="str">
        <f>IFERROR(__xludf.DUMMYFUNCTION("""COMPUTED_VALUE"""),"WV")</f>
        <v>WV</v>
      </c>
      <c r="E43" s="8" t="str">
        <f>IFERROR(__xludf.DUMMYFUNCTION("""COMPUTED_VALUE"""),"USA")</f>
        <v>USA</v>
      </c>
      <c r="F43" s="8" t="str">
        <f>IFERROR(__xludf.DUMMYFUNCTION("""COMPUTED_VALUE"""),"MEN SINGLES")</f>
        <v>MEN SINGLES</v>
      </c>
      <c r="G43" s="8" t="str">
        <f>IFERROR(__xludf.DUMMYFUNCTION("""COMPUTED_VALUE"""),"1")</f>
        <v>1</v>
      </c>
      <c r="H43" s="8" t="str">
        <f>IFERROR(__xludf.DUMMYFUNCTION("""COMPUTED_VALUE"""),"BS 37 PA")</f>
        <v>BS 37 PA</v>
      </c>
      <c r="I43" s="9">
        <f>IFERROR(__xludf.DUMMYFUNCTION("""COMPUTED_VALUE"""),45078.0)</f>
        <v>45078</v>
      </c>
      <c r="J43" s="9">
        <f>IFERROR(__xludf.DUMMYFUNCTION("""COMPUTED_VALUE"""),46174.0)</f>
        <v>46174</v>
      </c>
      <c r="K43" s="1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7" t="str">
        <f>IFERROR(__xludf.DUMMYFUNCTION("""COMPUTED_VALUE"""),"BLAIS")</f>
        <v>BLAIS</v>
      </c>
      <c r="B44" s="8" t="str">
        <f>IFERROR(__xludf.DUMMYFUNCTION("""COMPUTED_VALUE"""),"JAMES")</f>
        <v>JAMES</v>
      </c>
      <c r="C44" s="8"/>
      <c r="D44" s="8"/>
      <c r="E44" s="8" t="str">
        <f>IFERROR(__xludf.DUMMYFUNCTION("""COMPUTED_VALUE"""),"CANADA")</f>
        <v>CANADA</v>
      </c>
      <c r="F44" s="8" t="str">
        <f>IFERROR(__xludf.DUMMYFUNCTION("""COMPUTED_VALUE"""),"MEN 501 DBLS")</f>
        <v>MEN 501 DBLS</v>
      </c>
      <c r="G44" s="8" t="str">
        <f>IFERROR(__xludf.DUMMYFUNCTION("""COMPUTED_VALUE"""),"1")</f>
        <v>1</v>
      </c>
      <c r="H44" s="8" t="str">
        <f>IFERROR(__xludf.DUMMYFUNCTION("""COMPUTED_VALUE"""),"BS 37 NY")</f>
        <v>BS 37 NY</v>
      </c>
      <c r="I44" s="9">
        <f>IFERROR(__xludf.DUMMYFUNCTION("""COMPUTED_VALUE"""),45078.0)</f>
        <v>45078</v>
      </c>
      <c r="J44" s="9">
        <f>IFERROR(__xludf.DUMMYFUNCTION("""COMPUTED_VALUE"""),46174.0)</f>
        <v>46174</v>
      </c>
      <c r="K44" s="10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7" t="str">
        <f>IFERROR(__xludf.DUMMYFUNCTION("""COMPUTED_VALUE"""),"BLEA")</f>
        <v>BLEA</v>
      </c>
      <c r="B45" s="8" t="str">
        <f>IFERROR(__xludf.DUMMYFUNCTION("""COMPUTED_VALUE"""),"RUBEN")</f>
        <v>RUBEN</v>
      </c>
      <c r="C45" s="8" t="str">
        <f>IFERROR(__xludf.DUMMYFUNCTION("""COMPUTED_VALUE"""),"THORTON")</f>
        <v>THORTON</v>
      </c>
      <c r="D45" s="8" t="str">
        <f>IFERROR(__xludf.DUMMYFUNCTION("""COMPUTED_VALUE"""),"CO")</f>
        <v>CO</v>
      </c>
      <c r="E45" s="8" t="str">
        <f>IFERROR(__xludf.DUMMYFUNCTION("""COMPUTED_VALUE"""),"USA")</f>
        <v>USA</v>
      </c>
      <c r="F45" s="8" t="str">
        <f>IFERROR(__xludf.DUMMYFUNCTION("""COMPUTED_VALUE"""),"MENS PRO DBLS 501")</f>
        <v>MENS PRO DBLS 501</v>
      </c>
      <c r="G45" s="8" t="str">
        <f>IFERROR(__xludf.DUMMYFUNCTION("""COMPUTED_VALUE"""),"3RD")</f>
        <v>3RD</v>
      </c>
      <c r="H45" s="8" t="str">
        <f>IFERROR(__xludf.DUMMYFUNCTION("""COMPUTED_VALUE"""),"BS 36 REGIONAL WY")</f>
        <v>BS 36 REGIONAL WY</v>
      </c>
      <c r="I45" s="9">
        <f>IFERROR(__xludf.DUMMYFUNCTION("""COMPUTED_VALUE"""),44713.0)</f>
        <v>44713</v>
      </c>
      <c r="J45" s="9">
        <f>IFERROR(__xludf.DUMMYFUNCTION("""COMPUTED_VALUE"""),45809.0)</f>
        <v>45809</v>
      </c>
      <c r="K45" s="10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7" t="str">
        <f>IFERROR(__xludf.DUMMYFUNCTION("""COMPUTED_VALUE"""),"BLUHM")</f>
        <v>BLUHM</v>
      </c>
      <c r="B46" s="8" t="str">
        <f>IFERROR(__xludf.DUMMYFUNCTION("""COMPUTED_VALUE"""),"GARY")</f>
        <v>GARY</v>
      </c>
      <c r="C46" s="8" t="str">
        <f>IFERROR(__xludf.DUMMYFUNCTION("""COMPUTED_VALUE"""),"BURLINGTON")</f>
        <v>BURLINGTON</v>
      </c>
      <c r="D46" s="8" t="str">
        <f>IFERROR(__xludf.DUMMYFUNCTION("""COMPUTED_VALUE"""),"WI")</f>
        <v>WI</v>
      </c>
      <c r="E46" s="8" t="str">
        <f>IFERROR(__xludf.DUMMYFUNCTION("""COMPUTED_VALUE"""),"USA")</f>
        <v>USA</v>
      </c>
      <c r="F46" s="8" t="str">
        <f>IFERROR(__xludf.DUMMYFUNCTION("""COMPUTED_VALUE"""),"TOPGUN NONPRO TRIPLES")</f>
        <v>TOPGUN NONPRO TRIPLES</v>
      </c>
      <c r="G46" s="8" t="str">
        <f>IFERROR(__xludf.DUMMYFUNCTION("""COMPUTED_VALUE"""),"1")</f>
        <v>1</v>
      </c>
      <c r="H46" s="8" t="str">
        <f>IFERROR(__xludf.DUMMYFUNCTION("""COMPUTED_VALUE"""),"BS 37 FINALS")</f>
        <v>BS 37 FINALS</v>
      </c>
      <c r="I46" s="9">
        <f>IFERROR(__xludf.DUMMYFUNCTION("""COMPUTED_VALUE"""),45078.0)</f>
        <v>45078</v>
      </c>
      <c r="J46" s="9">
        <f>IFERROR(__xludf.DUMMYFUNCTION("""COMPUTED_VALUE"""),46174.0)</f>
        <v>46174</v>
      </c>
      <c r="K46" s="1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7" t="str">
        <f>IFERROR(__xludf.DUMMYFUNCTION("""COMPUTED_VALUE"""),"Boehm")</f>
        <v>Boehm</v>
      </c>
      <c r="B47" s="8" t="str">
        <f>IFERROR(__xludf.DUMMYFUNCTION("""COMPUTED_VALUE"""),"Doug")</f>
        <v>Doug</v>
      </c>
      <c r="C47" s="8" t="str">
        <f>IFERROR(__xludf.DUMMYFUNCTION("""COMPUTED_VALUE"""),"Snyder")</f>
        <v>Snyder</v>
      </c>
      <c r="D47" s="8" t="str">
        <f>IFERROR(__xludf.DUMMYFUNCTION("""COMPUTED_VALUE"""),"OH")</f>
        <v>OH</v>
      </c>
      <c r="E47" s="8"/>
      <c r="F47" s="8" t="str">
        <f>IFERROR(__xludf.DUMMYFUNCTION("""COMPUTED_VALUE"""),"Pro Singles")</f>
        <v>Pro Singles</v>
      </c>
      <c r="G47" s="8" t="str">
        <f>IFERROR(__xludf.DUMMYFUNCTION("""COMPUTED_VALUE"""),"2nd")</f>
        <v>2nd</v>
      </c>
      <c r="H47" s="8" t="str">
        <f>IFERROR(__xludf.DUMMYFUNCTION("""COMPUTED_VALUE"""),"NY BS 38")</f>
        <v>NY BS 38</v>
      </c>
      <c r="I47" s="9">
        <f>IFERROR(__xludf.DUMMYFUNCTION("""COMPUTED_VALUE"""),45444.0)</f>
        <v>45444</v>
      </c>
      <c r="J47" s="9">
        <f>IFERROR(__xludf.DUMMYFUNCTION("""COMPUTED_VALUE"""),46539.0)</f>
        <v>46539</v>
      </c>
      <c r="K47" s="10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7" t="str">
        <f>IFERROR(__xludf.DUMMYFUNCTION("""COMPUTED_VALUE"""),"Bond")</f>
        <v>Bond</v>
      </c>
      <c r="B48" s="8" t="str">
        <f>IFERROR(__xludf.DUMMYFUNCTION("""COMPUTED_VALUE"""),"Mark")</f>
        <v>Mark</v>
      </c>
      <c r="C48" s="8" t="str">
        <f>IFERROR(__xludf.DUMMYFUNCTION("""COMPUTED_VALUE"""),"Kingwood")</f>
        <v>Kingwood</v>
      </c>
      <c r="D48" s="8" t="str">
        <f>IFERROR(__xludf.DUMMYFUNCTION("""COMPUTED_VALUE"""),"TX")</f>
        <v>TX</v>
      </c>
      <c r="E48" s="8"/>
      <c r="F48" s="8" t="str">
        <f>IFERROR(__xludf.DUMMYFUNCTION("""COMPUTED_VALUE"""),"Men 501 Dbls")</f>
        <v>Men 501 Dbls</v>
      </c>
      <c r="G48" s="8" t="str">
        <f>IFERROR(__xludf.DUMMYFUNCTION("""COMPUTED_VALUE"""),"2nd")</f>
        <v>2nd</v>
      </c>
      <c r="H48" s="8" t="str">
        <f>IFERROR(__xludf.DUMMYFUNCTION("""COMPUTED_VALUE"""),"TX BS 38")</f>
        <v>TX BS 38</v>
      </c>
      <c r="I48" s="9">
        <f>IFERROR(__xludf.DUMMYFUNCTION("""COMPUTED_VALUE"""),45444.0)</f>
        <v>45444</v>
      </c>
      <c r="J48" s="9">
        <f>IFERROR(__xludf.DUMMYFUNCTION("""COMPUTED_VALUE"""),46539.0)</f>
        <v>46539</v>
      </c>
      <c r="K48" s="10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7" t="str">
        <f>IFERROR(__xludf.DUMMYFUNCTION("""COMPUTED_VALUE"""),"Bonk")</f>
        <v>Bonk</v>
      </c>
      <c r="B49" s="8" t="str">
        <f>IFERROR(__xludf.DUMMYFUNCTION("""COMPUTED_VALUE"""),"Lenny")</f>
        <v>Lenny</v>
      </c>
      <c r="C49" s="8" t="str">
        <f>IFERROR(__xludf.DUMMYFUNCTION("""COMPUTED_VALUE"""),"Mishawaka")</f>
        <v>Mishawaka</v>
      </c>
      <c r="D49" s="8" t="str">
        <f>IFERROR(__xludf.DUMMYFUNCTION("""COMPUTED_VALUE"""),"IN")</f>
        <v>IN</v>
      </c>
      <c r="E49" s="8" t="str">
        <f>IFERROR(__xludf.DUMMYFUNCTION("""COMPUTED_VALUE"""),"USA")</f>
        <v>USA</v>
      </c>
      <c r="F49" s="8" t="str">
        <f>IFERROR(__xludf.DUMMYFUNCTION("""COMPUTED_VALUE"""),"Known Pro")</f>
        <v>Known Pro</v>
      </c>
      <c r="G49" s="8"/>
      <c r="H49" s="8" t="str">
        <f>IFERROR(__xludf.DUMMYFUNCTION("""COMPUTED_VALUE"""),"Known Ability")</f>
        <v>Known Ability</v>
      </c>
      <c r="I49" s="9">
        <f>IFERROR(__xludf.DUMMYFUNCTION("""COMPUTED_VALUE"""),36892.0)</f>
        <v>36892</v>
      </c>
      <c r="J49" s="9">
        <f>IFERROR(__xludf.DUMMYFUNCTION("""COMPUTED_VALUE"""),47635.0)</f>
        <v>47635</v>
      </c>
      <c r="K49" s="10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7" t="str">
        <f>IFERROR(__xludf.DUMMYFUNCTION("""COMPUTED_VALUE"""),"BOONE")</f>
        <v>BOONE</v>
      </c>
      <c r="B50" s="8" t="str">
        <f>IFERROR(__xludf.DUMMYFUNCTION("""COMPUTED_VALUE"""),"JAMES")</f>
        <v>JAMES</v>
      </c>
      <c r="C50" s="8" t="str">
        <f>IFERROR(__xludf.DUMMYFUNCTION("""COMPUTED_VALUE"""),"MOORE")</f>
        <v>MOORE</v>
      </c>
      <c r="D50" s="8" t="str">
        <f>IFERROR(__xludf.DUMMYFUNCTION("""COMPUTED_VALUE"""),"OK")</f>
        <v>OK</v>
      </c>
      <c r="E50" s="8" t="str">
        <f>IFERROR(__xludf.DUMMYFUNCTION("""COMPUTED_VALUE"""),"USA")</f>
        <v>USA</v>
      </c>
      <c r="F50" s="8" t="str">
        <f>IFERROR(__xludf.DUMMYFUNCTION("""COMPUTED_VALUE"""),"MEN SINGLES")</f>
        <v>MEN SINGLES</v>
      </c>
      <c r="G50" s="8" t="str">
        <f>IFERROR(__xludf.DUMMYFUNCTION("""COMPUTED_VALUE"""),"1")</f>
        <v>1</v>
      </c>
      <c r="H50" s="8" t="str">
        <f>IFERROR(__xludf.DUMMYFUNCTION("""COMPUTED_VALUE"""),"BS 37 TX")</f>
        <v>BS 37 TX</v>
      </c>
      <c r="I50" s="9">
        <f>IFERROR(__xludf.DUMMYFUNCTION("""COMPUTED_VALUE"""),45078.0)</f>
        <v>45078</v>
      </c>
      <c r="J50" s="9">
        <f>IFERROR(__xludf.DUMMYFUNCTION("""COMPUTED_VALUE"""),46174.0)</f>
        <v>46174</v>
      </c>
      <c r="K50" s="10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7" t="str">
        <f>IFERROR(__xludf.DUMMYFUNCTION("""COMPUTED_VALUE"""),"Booth")</f>
        <v>Booth</v>
      </c>
      <c r="B51" s="8" t="str">
        <f>IFERROR(__xludf.DUMMYFUNCTION("""COMPUTED_VALUE"""),"Brauclynn")</f>
        <v>Brauclynn</v>
      </c>
      <c r="C51" s="8" t="str">
        <f>IFERROR(__xludf.DUMMYFUNCTION("""COMPUTED_VALUE"""),"Albion")</f>
        <v>Albion</v>
      </c>
      <c r="D51" s="8" t="str">
        <f>IFERROR(__xludf.DUMMYFUNCTION("""COMPUTED_VALUE"""),"MI")</f>
        <v>MI</v>
      </c>
      <c r="E51" s="8"/>
      <c r="F51" s="8" t="str">
        <f>IFERROR(__xludf.DUMMYFUNCTION("""COMPUTED_VALUE"""),"Men 501 Dbls")</f>
        <v>Men 501 Dbls</v>
      </c>
      <c r="G51" s="8" t="str">
        <f>IFERROR(__xludf.DUMMYFUNCTION("""COMPUTED_VALUE"""),"3rd")</f>
        <v>3rd</v>
      </c>
      <c r="H51" s="8" t="str">
        <f>IFERROR(__xludf.DUMMYFUNCTION("""COMPUTED_VALUE"""),"MI BS 38")</f>
        <v>MI BS 38</v>
      </c>
      <c r="I51" s="9">
        <f>IFERROR(__xludf.DUMMYFUNCTION("""COMPUTED_VALUE"""),45444.0)</f>
        <v>45444</v>
      </c>
      <c r="J51" s="9">
        <f>IFERROR(__xludf.DUMMYFUNCTION("""COMPUTED_VALUE"""),46539.0)</f>
        <v>46539</v>
      </c>
      <c r="K51" s="10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7" t="str">
        <f>IFERROR(__xludf.DUMMYFUNCTION("""COMPUTED_VALUE"""),"BORLAND")</f>
        <v>BORLAND</v>
      </c>
      <c r="B52" s="8" t="str">
        <f>IFERROR(__xludf.DUMMYFUNCTION("""COMPUTED_VALUE"""),"NATE")</f>
        <v>NATE</v>
      </c>
      <c r="C52" s="8" t="str">
        <f>IFERROR(__xludf.DUMMYFUNCTION("""COMPUTED_VALUE"""),"EVANSVILLE")</f>
        <v>EVANSVILLE</v>
      </c>
      <c r="D52" s="8" t="str">
        <f>IFERROR(__xludf.DUMMYFUNCTION("""COMPUTED_VALUE"""),"IN")</f>
        <v>IN</v>
      </c>
      <c r="E52" s="8" t="str">
        <f>IFERROR(__xludf.DUMMYFUNCTION("""COMPUTED_VALUE"""),"USA")</f>
        <v>USA</v>
      </c>
      <c r="F52" s="8" t="str">
        <f>IFERROR(__xludf.DUMMYFUNCTION("""COMPUTED_VALUE"""),"MEN 501 DBLS")</f>
        <v>MEN 501 DBLS</v>
      </c>
      <c r="G52" s="8" t="str">
        <f>IFERROR(__xludf.DUMMYFUNCTION("""COMPUTED_VALUE"""),"1")</f>
        <v>1</v>
      </c>
      <c r="H52" s="8" t="str">
        <f>IFERROR(__xludf.DUMMYFUNCTION("""COMPUTED_VALUE"""),"BS 37 IN")</f>
        <v>BS 37 IN</v>
      </c>
      <c r="I52" s="9">
        <f>IFERROR(__xludf.DUMMYFUNCTION("""COMPUTED_VALUE"""),45078.0)</f>
        <v>45078</v>
      </c>
      <c r="J52" s="9">
        <f>IFERROR(__xludf.DUMMYFUNCTION("""COMPUTED_VALUE"""),46174.0)</f>
        <v>46174</v>
      </c>
      <c r="K52" s="10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7" t="str">
        <f>IFERROR(__xludf.DUMMYFUNCTION("""COMPUTED_VALUE"""),"BOSWELL")</f>
        <v>BOSWELL</v>
      </c>
      <c r="B53" s="8" t="str">
        <f>IFERROR(__xludf.DUMMYFUNCTION("""COMPUTED_VALUE"""),"ERIC")</f>
        <v>ERIC</v>
      </c>
      <c r="C53" s="8" t="str">
        <f>IFERROR(__xludf.DUMMYFUNCTION("""COMPUTED_VALUE"""),"WINTER HAVEN")</f>
        <v>WINTER HAVEN</v>
      </c>
      <c r="D53" s="8" t="str">
        <f>IFERROR(__xludf.DUMMYFUNCTION("""COMPUTED_VALUE"""),"FL")</f>
        <v>FL</v>
      </c>
      <c r="E53" s="8" t="str">
        <f>IFERROR(__xludf.DUMMYFUNCTION("""COMPUTED_VALUE"""),"USA")</f>
        <v>USA</v>
      </c>
      <c r="F53" s="8" t="str">
        <f>IFERROR(__xludf.DUMMYFUNCTION("""COMPUTED_VALUE"""),"MEN CRICKET DBLS")</f>
        <v>MEN CRICKET DBLS</v>
      </c>
      <c r="G53" s="8" t="str">
        <f>IFERROR(__xludf.DUMMYFUNCTION("""COMPUTED_VALUE"""),"2")</f>
        <v>2</v>
      </c>
      <c r="H53" s="8" t="str">
        <f>IFERROR(__xludf.DUMMYFUNCTION("""COMPUTED_VALUE"""),"BS 37 FL")</f>
        <v>BS 37 FL</v>
      </c>
      <c r="I53" s="9">
        <f>IFERROR(__xludf.DUMMYFUNCTION("""COMPUTED_VALUE"""),45078.0)</f>
        <v>45078</v>
      </c>
      <c r="J53" s="9">
        <f>IFERROR(__xludf.DUMMYFUNCTION("""COMPUTED_VALUE"""),46174.0)</f>
        <v>46174</v>
      </c>
      <c r="K53" s="1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7" t="str">
        <f>IFERROR(__xludf.DUMMYFUNCTION("""COMPUTED_VALUE"""),"BOWMAN")</f>
        <v>BOWMAN</v>
      </c>
      <c r="B54" s="8" t="str">
        <f>IFERROR(__xludf.DUMMYFUNCTION("""COMPUTED_VALUE"""),"BRENT")</f>
        <v>BRENT</v>
      </c>
      <c r="C54" s="8" t="str">
        <f>IFERROR(__xludf.DUMMYFUNCTION("""COMPUTED_VALUE"""),"MANSFIELD")</f>
        <v>MANSFIELD</v>
      </c>
      <c r="D54" s="8" t="str">
        <f>IFERROR(__xludf.DUMMYFUNCTION("""COMPUTED_VALUE"""),"OH")</f>
        <v>OH</v>
      </c>
      <c r="E54" s="8" t="str">
        <f>IFERROR(__xludf.DUMMYFUNCTION("""COMPUTED_VALUE"""),"USA")</f>
        <v>USA</v>
      </c>
      <c r="F54" s="8" t="str">
        <f>IFERROR(__xludf.DUMMYFUNCTION("""COMPUTED_VALUE"""),"MENS DBLS 501")</f>
        <v>MENS DBLS 501</v>
      </c>
      <c r="G54" s="8" t="str">
        <f>IFERROR(__xludf.DUMMYFUNCTION("""COMPUTED_VALUE"""),"2ND")</f>
        <v>2ND</v>
      </c>
      <c r="H54" s="8" t="str">
        <f>IFERROR(__xludf.DUMMYFUNCTION("""COMPUTED_VALUE"""),"BS 36 REGIONAL PA")</f>
        <v>BS 36 REGIONAL PA</v>
      </c>
      <c r="I54" s="9">
        <f>IFERROR(__xludf.DUMMYFUNCTION("""COMPUTED_VALUE"""),44713.0)</f>
        <v>44713</v>
      </c>
      <c r="J54" s="9">
        <f>IFERROR(__xludf.DUMMYFUNCTION("""COMPUTED_VALUE"""),45809.0)</f>
        <v>45809</v>
      </c>
      <c r="K54" s="10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7" t="str">
        <f>IFERROR(__xludf.DUMMYFUNCTION("""COMPUTED_VALUE"""),"BRAND")</f>
        <v>BRAND</v>
      </c>
      <c r="B55" s="8" t="str">
        <f>IFERROR(__xludf.DUMMYFUNCTION("""COMPUTED_VALUE"""),"JOSH")</f>
        <v>JOSH</v>
      </c>
      <c r="C55" s="8" t="str">
        <f>IFERROR(__xludf.DUMMYFUNCTION("""COMPUTED_VALUE"""),"HICKORY HILLS")</f>
        <v>HICKORY HILLS</v>
      </c>
      <c r="D55" s="8" t="str">
        <f>IFERROR(__xludf.DUMMYFUNCTION("""COMPUTED_VALUE"""),"IL")</f>
        <v>IL</v>
      </c>
      <c r="E55" s="8" t="str">
        <f>IFERROR(__xludf.DUMMYFUNCTION("""COMPUTED_VALUE"""),"USA")</f>
        <v>USA</v>
      </c>
      <c r="F55" s="8" t="str">
        <f>IFERROR(__xludf.DUMMYFUNCTION("""COMPUTED_VALUE"""),"MENS SINGLES CRICKET")</f>
        <v>MENS SINGLES CRICKET</v>
      </c>
      <c r="G55" s="8" t="str">
        <f>IFERROR(__xludf.DUMMYFUNCTION("""COMPUTED_VALUE"""),"2ND")</f>
        <v>2ND</v>
      </c>
      <c r="H55" s="8" t="str">
        <f>IFERROR(__xludf.DUMMYFUNCTION("""COMPUTED_VALUE"""),"BS 36 REGIONAL IN")</f>
        <v>BS 36 REGIONAL IN</v>
      </c>
      <c r="I55" s="9">
        <f>IFERROR(__xludf.DUMMYFUNCTION("""COMPUTED_VALUE"""),44713.0)</f>
        <v>44713</v>
      </c>
      <c r="J55" s="9">
        <f>IFERROR(__xludf.DUMMYFUNCTION("""COMPUTED_VALUE"""),45809.0)</f>
        <v>45809</v>
      </c>
      <c r="K55" s="1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7" t="str">
        <f>IFERROR(__xludf.DUMMYFUNCTION("""COMPUTED_VALUE"""),"BRASWELL")</f>
        <v>BRASWELL</v>
      </c>
      <c r="B56" s="8" t="str">
        <f>IFERROR(__xludf.DUMMYFUNCTION("""COMPUTED_VALUE"""),"AUSTIN")</f>
        <v>AUSTIN</v>
      </c>
      <c r="C56" s="8" t="str">
        <f>IFERROR(__xludf.DUMMYFUNCTION("""COMPUTED_VALUE"""),"APOPKA")</f>
        <v>APOPKA</v>
      </c>
      <c r="D56" s="8" t="str">
        <f>IFERROR(__xludf.DUMMYFUNCTION("""COMPUTED_VALUE"""),"FL")</f>
        <v>FL</v>
      </c>
      <c r="E56" s="8" t="str">
        <f>IFERROR(__xludf.DUMMYFUNCTION("""COMPUTED_VALUE"""),"USA")</f>
        <v>USA</v>
      </c>
      <c r="F56" s="8" t="str">
        <f>IFERROR(__xludf.DUMMYFUNCTION("""COMPUTED_VALUE"""),"PRO 501 DBLS")</f>
        <v>PRO 501 DBLS</v>
      </c>
      <c r="G56" s="8" t="str">
        <f>IFERROR(__xludf.DUMMYFUNCTION("""COMPUTED_VALUE"""),"3")</f>
        <v>3</v>
      </c>
      <c r="H56" s="8" t="str">
        <f>IFERROR(__xludf.DUMMYFUNCTION("""COMPUTED_VALUE"""),"BS 37 FL")</f>
        <v>BS 37 FL</v>
      </c>
      <c r="I56" s="9">
        <f>IFERROR(__xludf.DUMMYFUNCTION("""COMPUTED_VALUE"""),45078.0)</f>
        <v>45078</v>
      </c>
      <c r="J56" s="9">
        <f>IFERROR(__xludf.DUMMYFUNCTION("""COMPUTED_VALUE"""),46174.0)</f>
        <v>46174</v>
      </c>
      <c r="K56" s="1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7" t="str">
        <f>IFERROR(__xludf.DUMMYFUNCTION("""COMPUTED_VALUE"""),"BRAUGHLER")</f>
        <v>BRAUGHLER</v>
      </c>
      <c r="B57" s="8" t="str">
        <f>IFERROR(__xludf.DUMMYFUNCTION("""COMPUTED_VALUE"""),"ROBERT")</f>
        <v>ROBERT</v>
      </c>
      <c r="C57" s="8" t="str">
        <f>IFERROR(__xludf.DUMMYFUNCTION("""COMPUTED_VALUE"""),"BUFFALO")</f>
        <v>BUFFALO</v>
      </c>
      <c r="D57" s="8" t="str">
        <f>IFERROR(__xludf.DUMMYFUNCTION("""COMPUTED_VALUE"""),"NY")</f>
        <v>NY</v>
      </c>
      <c r="E57" s="8" t="str">
        <f>IFERROR(__xludf.DUMMYFUNCTION("""COMPUTED_VALUE"""),"USA")</f>
        <v>USA</v>
      </c>
      <c r="F57" s="8" t="str">
        <f>IFERROR(__xludf.DUMMYFUNCTION("""COMPUTED_VALUE"""),"MEN CRICKET DBLS")</f>
        <v>MEN CRICKET DBLS</v>
      </c>
      <c r="G57" s="8" t="str">
        <f>IFERROR(__xludf.DUMMYFUNCTION("""COMPUTED_VALUE"""),"3")</f>
        <v>3</v>
      </c>
      <c r="H57" s="8" t="str">
        <f>IFERROR(__xludf.DUMMYFUNCTION("""COMPUTED_VALUE"""),"BS 37 NY")</f>
        <v>BS 37 NY</v>
      </c>
      <c r="I57" s="9">
        <f>IFERROR(__xludf.DUMMYFUNCTION("""COMPUTED_VALUE"""),45078.0)</f>
        <v>45078</v>
      </c>
      <c r="J57" s="9">
        <f>IFERROR(__xludf.DUMMYFUNCTION("""COMPUTED_VALUE"""),46174.0)</f>
        <v>46174</v>
      </c>
      <c r="K57" s="1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7" t="str">
        <f>IFERROR(__xludf.DUMMYFUNCTION("""COMPUTED_VALUE"""),"BRENNAN")</f>
        <v>BRENNAN</v>
      </c>
      <c r="B58" s="8" t="str">
        <f>IFERROR(__xludf.DUMMYFUNCTION("""COMPUTED_VALUE"""),"DARYL")</f>
        <v>DARYL</v>
      </c>
      <c r="C58" s="8" t="str">
        <f>IFERROR(__xludf.DUMMYFUNCTION("""COMPUTED_VALUE"""),"CASTLE PINES")</f>
        <v>CASTLE PINES</v>
      </c>
      <c r="D58" s="8" t="str">
        <f>IFERROR(__xludf.DUMMYFUNCTION("""COMPUTED_VALUE"""),"CO")</f>
        <v>CO</v>
      </c>
      <c r="E58" s="8" t="str">
        <f>IFERROR(__xludf.DUMMYFUNCTION("""COMPUTED_VALUE"""),"USA")</f>
        <v>USA</v>
      </c>
      <c r="F58" s="8" t="str">
        <f>IFERROR(__xludf.DUMMYFUNCTION("""COMPUTED_VALUE"""),"MIXED CRICKET")</f>
        <v>MIXED CRICKET</v>
      </c>
      <c r="G58" s="8" t="str">
        <f>IFERROR(__xludf.DUMMYFUNCTION("""COMPUTED_VALUE"""),"1")</f>
        <v>1</v>
      </c>
      <c r="H58" s="8" t="str">
        <f>IFERROR(__xludf.DUMMYFUNCTION("""COMPUTED_VALUE"""),"BS 37 NE")</f>
        <v>BS 37 NE</v>
      </c>
      <c r="I58" s="9">
        <f>IFERROR(__xludf.DUMMYFUNCTION("""COMPUTED_VALUE"""),45078.0)</f>
        <v>45078</v>
      </c>
      <c r="J58" s="9">
        <f>IFERROR(__xludf.DUMMYFUNCTION("""COMPUTED_VALUE"""),46174.0)</f>
        <v>46174</v>
      </c>
      <c r="K58" s="1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7" t="str">
        <f>IFERROR(__xludf.DUMMYFUNCTION("""COMPUTED_VALUE"""),"Brenneman")</f>
        <v>Brenneman</v>
      </c>
      <c r="B59" s="8" t="str">
        <f>IFERROR(__xludf.DUMMYFUNCTION("""COMPUTED_VALUE"""),"Shawn")</f>
        <v>Shawn</v>
      </c>
      <c r="C59" s="8" t="str">
        <f>IFERROR(__xludf.DUMMYFUNCTION("""COMPUTED_VALUE"""),"Canada")</f>
        <v>Canada</v>
      </c>
      <c r="D59" s="8" t="str">
        <f>IFERROR(__xludf.DUMMYFUNCTION("""COMPUTED_VALUE"""),"UNK")</f>
        <v>UNK</v>
      </c>
      <c r="E59" s="8" t="str">
        <f>IFERROR(__xludf.DUMMYFUNCTION("""COMPUTED_VALUE"""),"Canada")</f>
        <v>Canada</v>
      </c>
      <c r="F59" s="8" t="str">
        <f>IFERROR(__xludf.DUMMYFUNCTION("""COMPUTED_VALUE"""),"NAPDA 2018")</f>
        <v>NAPDA 2018</v>
      </c>
      <c r="G59" s="8" t="str">
        <f>IFERROR(__xludf.DUMMYFUNCTION("""COMPUTED_VALUE"""),"22nd")</f>
        <v>22nd</v>
      </c>
      <c r="H59" s="8" t="str">
        <f>IFERROR(__xludf.DUMMYFUNCTION("""COMPUTED_VALUE"""),"Known Ability")</f>
        <v>Known Ability</v>
      </c>
      <c r="I59" s="9">
        <f>IFERROR(__xludf.DUMMYFUNCTION("""COMPUTED_VALUE"""),43132.0)</f>
        <v>43132</v>
      </c>
      <c r="J59" s="9">
        <f>IFERROR(__xludf.DUMMYFUNCTION("""COMPUTED_VALUE"""),47635.0)</f>
        <v>47635</v>
      </c>
      <c r="K59" s="1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7" t="str">
        <f>IFERROR(__xludf.DUMMYFUNCTION("""COMPUTED_VALUE"""),"BREWER")</f>
        <v>BREWER</v>
      </c>
      <c r="B60" s="8" t="str">
        <f>IFERROR(__xludf.DUMMYFUNCTION("""COMPUTED_VALUE"""),"MIKE")</f>
        <v>MIKE</v>
      </c>
      <c r="C60" s="8" t="str">
        <f>IFERROR(__xludf.DUMMYFUNCTION("""COMPUTED_VALUE"""),"OLATHE")</f>
        <v>OLATHE</v>
      </c>
      <c r="D60" s="8" t="str">
        <f>IFERROR(__xludf.DUMMYFUNCTION("""COMPUTED_VALUE"""),"KS")</f>
        <v>KS</v>
      </c>
      <c r="E60" s="8" t="str">
        <f>IFERROR(__xludf.DUMMYFUNCTION("""COMPUTED_VALUE"""),"USA")</f>
        <v>USA</v>
      </c>
      <c r="F60" s="8" t="str">
        <f>IFERROR(__xludf.DUMMYFUNCTION("""COMPUTED_VALUE"""),"MENS PRO DBLS 501")</f>
        <v>MENS PRO DBLS 501</v>
      </c>
      <c r="G60" s="8" t="str">
        <f>IFERROR(__xludf.DUMMYFUNCTION("""COMPUTED_VALUE"""),"3RD")</f>
        <v>3RD</v>
      </c>
      <c r="H60" s="8" t="str">
        <f>IFERROR(__xludf.DUMMYFUNCTION("""COMPUTED_VALUE"""),"BS 36 REGIONAL NE")</f>
        <v>BS 36 REGIONAL NE</v>
      </c>
      <c r="I60" s="9">
        <f>IFERROR(__xludf.DUMMYFUNCTION("""COMPUTED_VALUE"""),44713.0)</f>
        <v>44713</v>
      </c>
      <c r="J60" s="9">
        <f>IFERROR(__xludf.DUMMYFUNCTION("""COMPUTED_VALUE"""),45809.0)</f>
        <v>45809</v>
      </c>
      <c r="K60" s="1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7" t="str">
        <f>IFERROR(__xludf.DUMMYFUNCTION("""COMPUTED_VALUE"""),"Brewster")</f>
        <v>Brewster</v>
      </c>
      <c r="B61" s="8" t="str">
        <f>IFERROR(__xludf.DUMMYFUNCTION("""COMPUTED_VALUE"""),"Travis")</f>
        <v>Travis</v>
      </c>
      <c r="C61" s="8" t="str">
        <f>IFERROR(__xludf.DUMMYFUNCTION("""COMPUTED_VALUE"""),"Wooster")</f>
        <v>Wooster</v>
      </c>
      <c r="D61" s="8" t="str">
        <f>IFERROR(__xludf.DUMMYFUNCTION("""COMPUTED_VALUE"""),"OH")</f>
        <v>OH</v>
      </c>
      <c r="E61" s="8"/>
      <c r="F61" s="8" t="str">
        <f>IFERROR(__xludf.DUMMYFUNCTION("""COMPUTED_VALUE"""),"Pro/Am")</f>
        <v>Pro/Am</v>
      </c>
      <c r="G61" s="8" t="str">
        <f>IFERROR(__xludf.DUMMYFUNCTION("""COMPUTED_VALUE"""),"1st")</f>
        <v>1st</v>
      </c>
      <c r="H61" s="8" t="str">
        <f>IFERROR(__xludf.DUMMYFUNCTION("""COMPUTED_VALUE"""),"MI BS 38")</f>
        <v>MI BS 38</v>
      </c>
      <c r="I61" s="9">
        <f>IFERROR(__xludf.DUMMYFUNCTION("""COMPUTED_VALUE"""),45444.0)</f>
        <v>45444</v>
      </c>
      <c r="J61" s="9">
        <f>IFERROR(__xludf.DUMMYFUNCTION("""COMPUTED_VALUE"""),46539.0)</f>
        <v>46539</v>
      </c>
      <c r="K61" s="1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7" t="str">
        <f>IFERROR(__xludf.DUMMYFUNCTION("""COMPUTED_VALUE"""),"BRICE")</f>
        <v>BRICE</v>
      </c>
      <c r="B62" s="8" t="str">
        <f>IFERROR(__xludf.DUMMYFUNCTION("""COMPUTED_VALUE"""),"BRAD")</f>
        <v>BRAD</v>
      </c>
      <c r="C62" s="8" t="str">
        <f>IFERROR(__xludf.DUMMYFUNCTION("""COMPUTED_VALUE"""),"LA PORTE")</f>
        <v>LA PORTE</v>
      </c>
      <c r="D62" s="8" t="str">
        <f>IFERROR(__xludf.DUMMYFUNCTION("""COMPUTED_VALUE"""),"TX")</f>
        <v>TX</v>
      </c>
      <c r="E62" s="8" t="str">
        <f>IFERROR(__xludf.DUMMYFUNCTION("""COMPUTED_VALUE"""),"USA")</f>
        <v>USA</v>
      </c>
      <c r="F62" s="8" t="str">
        <f>IFERROR(__xludf.DUMMYFUNCTION("""COMPUTED_VALUE"""),"MENS SINGLES CRICKET")</f>
        <v>MENS SINGLES CRICKET</v>
      </c>
      <c r="G62" s="8" t="str">
        <f>IFERROR(__xludf.DUMMYFUNCTION("""COMPUTED_VALUE"""),"3RD")</f>
        <v>3RD</v>
      </c>
      <c r="H62" s="8" t="str">
        <f>IFERROR(__xludf.DUMMYFUNCTION("""COMPUTED_VALUE"""),"BS 36 REGIONAL TX")</f>
        <v>BS 36 REGIONAL TX</v>
      </c>
      <c r="I62" s="9">
        <f>IFERROR(__xludf.DUMMYFUNCTION("""COMPUTED_VALUE"""),44713.0)</f>
        <v>44713</v>
      </c>
      <c r="J62" s="9">
        <f>IFERROR(__xludf.DUMMYFUNCTION("""COMPUTED_VALUE"""),45809.0)</f>
        <v>45809</v>
      </c>
      <c r="K62" s="1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7" t="str">
        <f>IFERROR(__xludf.DUMMYFUNCTION("""COMPUTED_VALUE"""),"BROGAN")</f>
        <v>BROGAN</v>
      </c>
      <c r="B63" s="8" t="str">
        <f>IFERROR(__xludf.DUMMYFUNCTION("""COMPUTED_VALUE"""),"RYAN")</f>
        <v>RYAN</v>
      </c>
      <c r="C63" s="8" t="str">
        <f>IFERROR(__xludf.DUMMYFUNCTION("""COMPUTED_VALUE"""),"CLEARWATER")</f>
        <v>CLEARWATER</v>
      </c>
      <c r="D63" s="8" t="str">
        <f>IFERROR(__xludf.DUMMYFUNCTION("""COMPUTED_VALUE"""),"FL")</f>
        <v>FL</v>
      </c>
      <c r="E63" s="8" t="str">
        <f>IFERROR(__xludf.DUMMYFUNCTION("""COMPUTED_VALUE"""),"USA")</f>
        <v>USA</v>
      </c>
      <c r="F63" s="8" t="str">
        <f>IFERROR(__xludf.DUMMYFUNCTION("""COMPUTED_VALUE"""),"MENS DBLS CRICKET")</f>
        <v>MENS DBLS CRICKET</v>
      </c>
      <c r="G63" s="8" t="str">
        <f>IFERROR(__xludf.DUMMYFUNCTION("""COMPUTED_VALUE"""),"2ND")</f>
        <v>2ND</v>
      </c>
      <c r="H63" s="8" t="str">
        <f>IFERROR(__xludf.DUMMYFUNCTION("""COMPUTED_VALUE"""),"BS 36 REGIONAL FL")</f>
        <v>BS 36 REGIONAL FL</v>
      </c>
      <c r="I63" s="9">
        <f>IFERROR(__xludf.DUMMYFUNCTION("""COMPUTED_VALUE"""),44713.0)</f>
        <v>44713</v>
      </c>
      <c r="J63" s="9">
        <f>IFERROR(__xludf.DUMMYFUNCTION("""COMPUTED_VALUE"""),45809.0)</f>
        <v>45809</v>
      </c>
      <c r="K63" s="1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7" t="str">
        <f>IFERROR(__xludf.DUMMYFUNCTION("""COMPUTED_VALUE"""),"Brooks")</f>
        <v>Brooks</v>
      </c>
      <c r="B64" s="8" t="str">
        <f>IFERROR(__xludf.DUMMYFUNCTION("""COMPUTED_VALUE"""),"Dan")</f>
        <v>Dan</v>
      </c>
      <c r="C64" s="8" t="str">
        <f>IFERROR(__xludf.DUMMYFUNCTION("""COMPUTED_VALUE"""),"Boise")</f>
        <v>Boise</v>
      </c>
      <c r="D64" s="8" t="str">
        <f>IFERROR(__xludf.DUMMYFUNCTION("""COMPUTED_VALUE"""),"ID")</f>
        <v>ID</v>
      </c>
      <c r="E64" s="8" t="str">
        <f>IFERROR(__xludf.DUMMYFUNCTION("""COMPUTED_VALUE"""),"USA")</f>
        <v>USA</v>
      </c>
      <c r="F64" s="8" t="str">
        <f>IFERROR(__xludf.DUMMYFUNCTION("""COMPUTED_VALUE"""),"Men Cricket Dbls")</f>
        <v>Men Cricket Dbls</v>
      </c>
      <c r="G64" s="8" t="str">
        <f>IFERROR(__xludf.DUMMYFUNCTION("""COMPUTED_VALUE"""),"3rd")</f>
        <v>3rd</v>
      </c>
      <c r="H64" s="8" t="str">
        <f>IFERROR(__xludf.DUMMYFUNCTION("""COMPUTED_VALUE"""),"WA BS 38")</f>
        <v>WA BS 38</v>
      </c>
      <c r="I64" s="9">
        <f>IFERROR(__xludf.DUMMYFUNCTION("""COMPUTED_VALUE"""),45444.0)</f>
        <v>45444</v>
      </c>
      <c r="J64" s="9">
        <f>IFERROR(__xludf.DUMMYFUNCTION("""COMPUTED_VALUE"""),46539.0)</f>
        <v>46539</v>
      </c>
      <c r="K64" s="1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7" t="str">
        <f>IFERROR(__xludf.DUMMYFUNCTION("""COMPUTED_VALUE"""),"Brooks")</f>
        <v>Brooks</v>
      </c>
      <c r="B65" s="8" t="str">
        <f>IFERROR(__xludf.DUMMYFUNCTION("""COMPUTED_VALUE"""),"Jacob")</f>
        <v>Jacob</v>
      </c>
      <c r="C65" s="8" t="str">
        <f>IFERROR(__xludf.DUMMYFUNCTION("""COMPUTED_VALUE"""),"Loveland")</f>
        <v>Loveland</v>
      </c>
      <c r="D65" s="8" t="str">
        <f>IFERROR(__xludf.DUMMYFUNCTION("""COMPUTED_VALUE"""),"CO")</f>
        <v>CO</v>
      </c>
      <c r="E65" s="8" t="str">
        <f>IFERROR(__xludf.DUMMYFUNCTION("""COMPUTED_VALUE"""),"USA")</f>
        <v>USA</v>
      </c>
      <c r="F65" s="8" t="str">
        <f>IFERROR(__xludf.DUMMYFUNCTION("""COMPUTED_VALUE"""),"Men Cricket Dbls")</f>
        <v>Men Cricket Dbls</v>
      </c>
      <c r="G65" s="8" t="str">
        <f>IFERROR(__xludf.DUMMYFUNCTION("""COMPUTED_VALUE"""),"3rd")</f>
        <v>3rd</v>
      </c>
      <c r="H65" s="8" t="str">
        <f>IFERROR(__xludf.DUMMYFUNCTION("""COMPUTED_VALUE"""),"NE BS 38")</f>
        <v>NE BS 38</v>
      </c>
      <c r="I65" s="9">
        <f>IFERROR(__xludf.DUMMYFUNCTION("""COMPUTED_VALUE"""),45444.0)</f>
        <v>45444</v>
      </c>
      <c r="J65" s="9">
        <f>IFERROR(__xludf.DUMMYFUNCTION("""COMPUTED_VALUE"""),46539.0)</f>
        <v>46539</v>
      </c>
      <c r="K65" s="1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7" t="str">
        <f>IFERROR(__xludf.DUMMYFUNCTION("""COMPUTED_VALUE"""),"Brooks")</f>
        <v>Brooks</v>
      </c>
      <c r="B66" s="8" t="str">
        <f>IFERROR(__xludf.DUMMYFUNCTION("""COMPUTED_VALUE"""),"Gary")</f>
        <v>Gary</v>
      </c>
      <c r="C66" s="8" t="str">
        <f>IFERROR(__xludf.DUMMYFUNCTION("""COMPUTED_VALUE"""),"CASPER")</f>
        <v>CASPER</v>
      </c>
      <c r="D66" s="8" t="str">
        <f>IFERROR(__xludf.DUMMYFUNCTION("""COMPUTED_VALUE"""),"WY")</f>
        <v>WY</v>
      </c>
      <c r="E66" s="8" t="str">
        <f>IFERROR(__xludf.DUMMYFUNCTION("""COMPUTED_VALUE"""),"USA")</f>
        <v>USA</v>
      </c>
      <c r="F66" s="8"/>
      <c r="G66" s="8"/>
      <c r="H66" s="8" t="str">
        <f>IFERROR(__xludf.DUMMYFUNCTION("""COMPUTED_VALUE"""),"ADO Top 25 2020")</f>
        <v>ADO Top 25 2020</v>
      </c>
      <c r="I66" s="9">
        <f>IFERROR(__xludf.DUMMYFUNCTION("""COMPUTED_VALUE"""),44348.0)</f>
        <v>44348</v>
      </c>
      <c r="J66" s="9">
        <f>IFERROR(__xludf.DUMMYFUNCTION("""COMPUTED_VALUE"""),46539.0)</f>
        <v>46539</v>
      </c>
      <c r="K66" s="1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7" t="str">
        <f>IFERROR(__xludf.DUMMYFUNCTION("""COMPUTED_VALUE"""),"Broussard")</f>
        <v>Broussard</v>
      </c>
      <c r="B67" s="8" t="str">
        <f>IFERROR(__xludf.DUMMYFUNCTION("""COMPUTED_VALUE"""),"Christian")</f>
        <v>Christian</v>
      </c>
      <c r="C67" s="8" t="str">
        <f>IFERROR(__xludf.DUMMYFUNCTION("""COMPUTED_VALUE"""),"Tacoma")</f>
        <v>Tacoma</v>
      </c>
      <c r="D67" s="8" t="str">
        <f>IFERROR(__xludf.DUMMYFUNCTION("""COMPUTED_VALUE"""),"WA")</f>
        <v>WA</v>
      </c>
      <c r="E67" s="8" t="str">
        <f>IFERROR(__xludf.DUMMYFUNCTION("""COMPUTED_VALUE"""),"USA")</f>
        <v>USA</v>
      </c>
      <c r="F67" s="8" t="str">
        <f>IFERROR(__xludf.DUMMYFUNCTION("""COMPUTED_VALUE"""),"Pro Cricket Dbls")</f>
        <v>Pro Cricket Dbls</v>
      </c>
      <c r="G67" s="8" t="str">
        <f>IFERROR(__xludf.DUMMYFUNCTION("""COMPUTED_VALUE"""),"2nd")</f>
        <v>2nd</v>
      </c>
      <c r="H67" s="8" t="str">
        <f>IFERROR(__xludf.DUMMYFUNCTION("""COMPUTED_VALUE"""),"WA BS 38")</f>
        <v>WA BS 38</v>
      </c>
      <c r="I67" s="9">
        <f>IFERROR(__xludf.DUMMYFUNCTION("""COMPUTED_VALUE"""),45444.0)</f>
        <v>45444</v>
      </c>
      <c r="J67" s="9">
        <f>IFERROR(__xludf.DUMMYFUNCTION("""COMPUTED_VALUE"""),46539.0)</f>
        <v>46539</v>
      </c>
      <c r="K67" s="1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7" t="str">
        <f>IFERROR(__xludf.DUMMYFUNCTION("""COMPUTED_VALUE"""),"Brown")</f>
        <v>Brown</v>
      </c>
      <c r="B68" s="8" t="str">
        <f>IFERROR(__xludf.DUMMYFUNCTION("""COMPUTED_VALUE"""),"Daniel")</f>
        <v>Daniel</v>
      </c>
      <c r="C68" s="8" t="str">
        <f>IFERROR(__xludf.DUMMYFUNCTION("""COMPUTED_VALUE"""),"Wheeling")</f>
        <v>Wheeling</v>
      </c>
      <c r="D68" s="8" t="str">
        <f>IFERROR(__xludf.DUMMYFUNCTION("""COMPUTED_VALUE"""),"WV")</f>
        <v>WV</v>
      </c>
      <c r="E68" s="8" t="str">
        <f>IFERROR(__xludf.DUMMYFUNCTION("""COMPUTED_VALUE"""),"USA")</f>
        <v>USA</v>
      </c>
      <c r="F68" s="8" t="str">
        <f>IFERROR(__xludf.DUMMYFUNCTION("""COMPUTED_VALUE"""),"Men 501 Dbls")</f>
        <v>Men 501 Dbls</v>
      </c>
      <c r="G68" s="8" t="str">
        <f>IFERROR(__xludf.DUMMYFUNCTION("""COMPUTED_VALUE"""),"3rd")</f>
        <v>3rd</v>
      </c>
      <c r="H68" s="8" t="str">
        <f>IFERROR(__xludf.DUMMYFUNCTION("""COMPUTED_VALUE"""),"NY BS 38")</f>
        <v>NY BS 38</v>
      </c>
      <c r="I68" s="9">
        <f>IFERROR(__xludf.DUMMYFUNCTION("""COMPUTED_VALUE"""),45444.0)</f>
        <v>45444</v>
      </c>
      <c r="J68" s="9">
        <f>IFERROR(__xludf.DUMMYFUNCTION("""COMPUTED_VALUE"""),46539.0)</f>
        <v>46539</v>
      </c>
      <c r="K68" s="10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7" t="str">
        <f>IFERROR(__xludf.DUMMYFUNCTION("""COMPUTED_VALUE"""),"BROWN")</f>
        <v>BROWN</v>
      </c>
      <c r="B69" s="8" t="str">
        <f>IFERROR(__xludf.DUMMYFUNCTION("""COMPUTED_VALUE"""),"JAMES")</f>
        <v>JAMES</v>
      </c>
      <c r="C69" s="8" t="str">
        <f>IFERROR(__xludf.DUMMYFUNCTION("""COMPUTED_VALUE"""),"STRONGHURST")</f>
        <v>STRONGHURST</v>
      </c>
      <c r="D69" s="8" t="str">
        <f>IFERROR(__xludf.DUMMYFUNCTION("""COMPUTED_VALUE"""),"IL")</f>
        <v>IL</v>
      </c>
      <c r="E69" s="8" t="str">
        <f>IFERROR(__xludf.DUMMYFUNCTION("""COMPUTED_VALUE"""),"USA")</f>
        <v>USA</v>
      </c>
      <c r="F69" s="8" t="str">
        <f>IFERROR(__xludf.DUMMYFUNCTION("""COMPUTED_VALUE"""),"MEN DBLS 501")</f>
        <v>MEN DBLS 501</v>
      </c>
      <c r="G69" s="8" t="str">
        <f>IFERROR(__xludf.DUMMYFUNCTION("""COMPUTED_VALUE"""),"1ST")</f>
        <v>1ST</v>
      </c>
      <c r="H69" s="8" t="str">
        <f>IFERROR(__xludf.DUMMYFUNCTION("""COMPUTED_VALUE"""),"NE REGIONAL BS 38")</f>
        <v>NE REGIONAL BS 38</v>
      </c>
      <c r="I69" s="9">
        <f>IFERROR(__xludf.DUMMYFUNCTION("""COMPUTED_VALUE"""),45444.0)</f>
        <v>45444</v>
      </c>
      <c r="J69" s="9">
        <f>IFERROR(__xludf.DUMMYFUNCTION("""COMPUTED_VALUE"""),46539.0)</f>
        <v>46539</v>
      </c>
      <c r="K69" s="1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7" t="str">
        <f>IFERROR(__xludf.DUMMYFUNCTION("""COMPUTED_VALUE"""),"Brown")</f>
        <v>Brown</v>
      </c>
      <c r="B70" s="8" t="str">
        <f>IFERROR(__xludf.DUMMYFUNCTION("""COMPUTED_VALUE"""),"James")</f>
        <v>James</v>
      </c>
      <c r="C70" s="8" t="str">
        <f>IFERROR(__xludf.DUMMYFUNCTION("""COMPUTED_VALUE"""),"Stronghurst")</f>
        <v>Stronghurst</v>
      </c>
      <c r="D70" s="8" t="str">
        <f>IFERROR(__xludf.DUMMYFUNCTION("""COMPUTED_VALUE"""),"IL")</f>
        <v>IL</v>
      </c>
      <c r="E70" s="8" t="str">
        <f>IFERROR(__xludf.DUMMYFUNCTION("""COMPUTED_VALUE"""),"USA")</f>
        <v>USA</v>
      </c>
      <c r="F70" s="8" t="str">
        <f>IFERROR(__xludf.DUMMYFUNCTION("""COMPUTED_VALUE"""),"Men 501 Dbls")</f>
        <v>Men 501 Dbls</v>
      </c>
      <c r="G70" s="8" t="str">
        <f>IFERROR(__xludf.DUMMYFUNCTION("""COMPUTED_VALUE"""),"1st")</f>
        <v>1st</v>
      </c>
      <c r="H70" s="8" t="str">
        <f>IFERROR(__xludf.DUMMYFUNCTION("""COMPUTED_VALUE"""),"NE BS 38")</f>
        <v>NE BS 38</v>
      </c>
      <c r="I70" s="9">
        <f>IFERROR(__xludf.DUMMYFUNCTION("""COMPUTED_VALUE"""),45444.0)</f>
        <v>45444</v>
      </c>
      <c r="J70" s="9">
        <f>IFERROR(__xludf.DUMMYFUNCTION("""COMPUTED_VALUE"""),46539.0)</f>
        <v>46539</v>
      </c>
      <c r="K70" s="1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7" t="str">
        <f>IFERROR(__xludf.DUMMYFUNCTION("""COMPUTED_VALUE"""),"BROWN")</f>
        <v>BROWN</v>
      </c>
      <c r="B71" s="8" t="str">
        <f>IFERROR(__xludf.DUMMYFUNCTION("""COMPUTED_VALUE"""),"BRANDON")</f>
        <v>BRANDON</v>
      </c>
      <c r="C71" s="8" t="str">
        <f>IFERROR(__xludf.DUMMYFUNCTION("""COMPUTED_VALUE"""),"SAN ANTONIO")</f>
        <v>SAN ANTONIO</v>
      </c>
      <c r="D71" s="8" t="str">
        <f>IFERROR(__xludf.DUMMYFUNCTION("""COMPUTED_VALUE"""),"TX")</f>
        <v>TX</v>
      </c>
      <c r="E71" s="8" t="str">
        <f>IFERROR(__xludf.DUMMYFUNCTION("""COMPUTED_VALUE"""),"USA")</f>
        <v>USA</v>
      </c>
      <c r="F71" s="8" t="str">
        <f>IFERROR(__xludf.DUMMYFUNCTION("""COMPUTED_VALUE"""),"PRO 501 DBLS")</f>
        <v>PRO 501 DBLS</v>
      </c>
      <c r="G71" s="8" t="str">
        <f>IFERROR(__xludf.DUMMYFUNCTION("""COMPUTED_VALUE"""),"3")</f>
        <v>3</v>
      </c>
      <c r="H71" s="8" t="str">
        <f>IFERROR(__xludf.DUMMYFUNCTION("""COMPUTED_VALUE"""),"BS 37 TX")</f>
        <v>BS 37 TX</v>
      </c>
      <c r="I71" s="9">
        <f>IFERROR(__xludf.DUMMYFUNCTION("""COMPUTED_VALUE"""),45078.0)</f>
        <v>45078</v>
      </c>
      <c r="J71" s="9">
        <f>IFERROR(__xludf.DUMMYFUNCTION("""COMPUTED_VALUE"""),46174.0)</f>
        <v>46174</v>
      </c>
      <c r="K71" s="1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7" t="str">
        <f>IFERROR(__xludf.DUMMYFUNCTION("""COMPUTED_VALUE"""),"BROWN")</f>
        <v>BROWN</v>
      </c>
      <c r="B72" s="8" t="str">
        <f>IFERROR(__xludf.DUMMYFUNCTION("""COMPUTED_VALUE"""),"MASON")</f>
        <v>MASON</v>
      </c>
      <c r="C72" s="8" t="str">
        <f>IFERROR(__xludf.DUMMYFUNCTION("""COMPUTED_VALUE"""),"CROWLEY")</f>
        <v>CROWLEY</v>
      </c>
      <c r="D72" s="8" t="str">
        <f>IFERROR(__xludf.DUMMYFUNCTION("""COMPUTED_VALUE"""),"TX")</f>
        <v>TX</v>
      </c>
      <c r="E72" s="8" t="str">
        <f>IFERROR(__xludf.DUMMYFUNCTION("""COMPUTED_VALUE"""),"USA")</f>
        <v>USA</v>
      </c>
      <c r="F72" s="8" t="str">
        <f>IFERROR(__xludf.DUMMYFUNCTION("""COMPUTED_VALUE"""),"MENS DBLS CRICKET")</f>
        <v>MENS DBLS CRICKET</v>
      </c>
      <c r="G72" s="8" t="str">
        <f>IFERROR(__xludf.DUMMYFUNCTION("""COMPUTED_VALUE"""),"1ST")</f>
        <v>1ST</v>
      </c>
      <c r="H72" s="8" t="str">
        <f>IFERROR(__xludf.DUMMYFUNCTION("""COMPUTED_VALUE"""),"BS 36 REGIONAL TX")</f>
        <v>BS 36 REGIONAL TX</v>
      </c>
      <c r="I72" s="9">
        <f>IFERROR(__xludf.DUMMYFUNCTION("""COMPUTED_VALUE"""),44713.0)</f>
        <v>44713</v>
      </c>
      <c r="J72" s="9">
        <f>IFERROR(__xludf.DUMMYFUNCTION("""COMPUTED_VALUE"""),45809.0)</f>
        <v>45809</v>
      </c>
      <c r="K72" s="1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7" t="str">
        <f>IFERROR(__xludf.DUMMYFUNCTION("""COMPUTED_VALUE"""),"Brunello")</f>
        <v>Brunello</v>
      </c>
      <c r="B73" s="8" t="str">
        <f>IFERROR(__xludf.DUMMYFUNCTION("""COMPUTED_VALUE"""),"Cody")</f>
        <v>Cody</v>
      </c>
      <c r="C73" s="8" t="str">
        <f>IFERROR(__xludf.DUMMYFUNCTION("""COMPUTED_VALUE"""),"Kenosha")</f>
        <v>Kenosha</v>
      </c>
      <c r="D73" s="8" t="str">
        <f>IFERROR(__xludf.DUMMYFUNCTION("""COMPUTED_VALUE"""),"WI")</f>
        <v>WI</v>
      </c>
      <c r="E73" s="8" t="str">
        <f>IFERROR(__xludf.DUMMYFUNCTION("""COMPUTED_VALUE"""),"USA")</f>
        <v>USA</v>
      </c>
      <c r="F73" s="8" t="str">
        <f>IFERROR(__xludf.DUMMYFUNCTION("""COMPUTED_VALUE"""),"Pro Cricket Doubles")</f>
        <v>Pro Cricket Doubles</v>
      </c>
      <c r="G73" s="8" t="str">
        <f>IFERROR(__xludf.DUMMYFUNCTION("""COMPUTED_VALUE"""),"2nd")</f>
        <v>2nd</v>
      </c>
      <c r="H73" s="8" t="str">
        <f>IFERROR(__xludf.DUMMYFUNCTION("""COMPUTED_VALUE"""),"BullShooter 34 Finals")</f>
        <v>BullShooter 34 Finals</v>
      </c>
      <c r="I73" s="9">
        <f>IFERROR(__xludf.DUMMYFUNCTION("""COMPUTED_VALUE"""),43617.0)</f>
        <v>43617</v>
      </c>
      <c r="J73" s="9">
        <f>IFERROR(__xludf.DUMMYFUNCTION("""COMPUTED_VALUE"""),45809.0)</f>
        <v>45809</v>
      </c>
      <c r="K73" s="10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7" t="str">
        <f>IFERROR(__xludf.DUMMYFUNCTION("""COMPUTED_VALUE"""),"BUBOLTZ")</f>
        <v>BUBOLTZ</v>
      </c>
      <c r="B74" s="8" t="str">
        <f>IFERROR(__xludf.DUMMYFUNCTION("""COMPUTED_VALUE"""),"TREVOR")</f>
        <v>TREVOR</v>
      </c>
      <c r="C74" s="8" t="str">
        <f>IFERROR(__xludf.DUMMYFUNCTION("""COMPUTED_VALUE"""),"TINLEY PARK")</f>
        <v>TINLEY PARK</v>
      </c>
      <c r="D74" s="8" t="str">
        <f>IFERROR(__xludf.DUMMYFUNCTION("""COMPUTED_VALUE"""),"IL")</f>
        <v>IL</v>
      </c>
      <c r="E74" s="8" t="str">
        <f>IFERROR(__xludf.DUMMYFUNCTION("""COMPUTED_VALUE"""),"USA")</f>
        <v>USA</v>
      </c>
      <c r="F74" s="8" t="str">
        <f>IFERROR(__xludf.DUMMYFUNCTION("""COMPUTED_VALUE"""),"MIXED 701 TRIPLES")</f>
        <v>MIXED 701 TRIPLES</v>
      </c>
      <c r="G74" s="8" t="str">
        <f>IFERROR(__xludf.DUMMYFUNCTION("""COMPUTED_VALUE"""),"1")</f>
        <v>1</v>
      </c>
      <c r="H74" s="8" t="str">
        <f>IFERROR(__xludf.DUMMYFUNCTION("""COMPUTED_VALUE"""),"BS 37 FINALS")</f>
        <v>BS 37 FINALS</v>
      </c>
      <c r="I74" s="9">
        <f>IFERROR(__xludf.DUMMYFUNCTION("""COMPUTED_VALUE"""),45078.0)</f>
        <v>45078</v>
      </c>
      <c r="J74" s="9">
        <f>IFERROR(__xludf.DUMMYFUNCTION("""COMPUTED_VALUE"""),46174.0)</f>
        <v>46174</v>
      </c>
      <c r="K74" s="10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7" t="str">
        <f>IFERROR(__xludf.DUMMYFUNCTION("""COMPUTED_VALUE"""),"BUCHANAN")</f>
        <v>BUCHANAN</v>
      </c>
      <c r="B75" s="8" t="str">
        <f>IFERROR(__xludf.DUMMYFUNCTION("""COMPUTED_VALUE"""),"RICHARD")</f>
        <v>RICHARD</v>
      </c>
      <c r="C75" s="8" t="str">
        <f>IFERROR(__xludf.DUMMYFUNCTION("""COMPUTED_VALUE"""),"FOLLANSBEE")</f>
        <v>FOLLANSBEE</v>
      </c>
      <c r="D75" s="8" t="str">
        <f>IFERROR(__xludf.DUMMYFUNCTION("""COMPUTED_VALUE"""),"WV")</f>
        <v>WV</v>
      </c>
      <c r="E75" s="8" t="str">
        <f>IFERROR(__xludf.DUMMYFUNCTION("""COMPUTED_VALUE"""),"USA")</f>
        <v>USA</v>
      </c>
      <c r="F75" s="8" t="str">
        <f>IFERROR(__xludf.DUMMYFUNCTION("""COMPUTED_VALUE"""),"MEN CRICKET DBLS")</f>
        <v>MEN CRICKET DBLS</v>
      </c>
      <c r="G75" s="8" t="str">
        <f>IFERROR(__xludf.DUMMYFUNCTION("""COMPUTED_VALUE"""),"3")</f>
        <v>3</v>
      </c>
      <c r="H75" s="8" t="str">
        <f>IFERROR(__xludf.DUMMYFUNCTION("""COMPUTED_VALUE"""),"BS 37 PA")</f>
        <v>BS 37 PA</v>
      </c>
      <c r="I75" s="9">
        <f>IFERROR(__xludf.DUMMYFUNCTION("""COMPUTED_VALUE"""),45078.0)</f>
        <v>45078</v>
      </c>
      <c r="J75" s="9">
        <f>IFERROR(__xludf.DUMMYFUNCTION("""COMPUTED_VALUE"""),46174.0)</f>
        <v>46174</v>
      </c>
      <c r="K75" s="10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7" t="str">
        <f>IFERROR(__xludf.DUMMYFUNCTION("""COMPUTED_VALUE"""),"BUCK")</f>
        <v>BUCK</v>
      </c>
      <c r="B76" s="8" t="str">
        <f>IFERROR(__xludf.DUMMYFUNCTION("""COMPUTED_VALUE"""),"JESSE")</f>
        <v>JESSE</v>
      </c>
      <c r="C76" s="8" t="str">
        <f>IFERROR(__xludf.DUMMYFUNCTION("""COMPUTED_VALUE"""),"SPRINGFIELD")</f>
        <v>SPRINGFIELD</v>
      </c>
      <c r="D76" s="8" t="str">
        <f>IFERROR(__xludf.DUMMYFUNCTION("""COMPUTED_VALUE"""),"OH")</f>
        <v>OH</v>
      </c>
      <c r="E76" s="8" t="str">
        <f>IFERROR(__xludf.DUMMYFUNCTION("""COMPUTED_VALUE"""),"USA")</f>
        <v>USA</v>
      </c>
      <c r="F76" s="8" t="str">
        <f>IFERROR(__xludf.DUMMYFUNCTION("""COMPUTED_VALUE"""),"MEN CRICKET DBLS")</f>
        <v>MEN CRICKET DBLS</v>
      </c>
      <c r="G76" s="8" t="str">
        <f>IFERROR(__xludf.DUMMYFUNCTION("""COMPUTED_VALUE"""),"3")</f>
        <v>3</v>
      </c>
      <c r="H76" s="8" t="str">
        <f>IFERROR(__xludf.DUMMYFUNCTION("""COMPUTED_VALUE"""),"BS 37 OH")</f>
        <v>BS 37 OH</v>
      </c>
      <c r="I76" s="9">
        <f>IFERROR(__xludf.DUMMYFUNCTION("""COMPUTED_VALUE"""),45078.0)</f>
        <v>45078</v>
      </c>
      <c r="J76" s="9">
        <f>IFERROR(__xludf.DUMMYFUNCTION("""COMPUTED_VALUE"""),46174.0)</f>
        <v>46174</v>
      </c>
      <c r="K76" s="10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7" t="str">
        <f>IFERROR(__xludf.DUMMYFUNCTION("""COMPUTED_VALUE"""),"Buckley")</f>
        <v>Buckley</v>
      </c>
      <c r="B77" s="8" t="str">
        <f>IFERROR(__xludf.DUMMYFUNCTION("""COMPUTED_VALUE"""),"Scott")</f>
        <v>Scott</v>
      </c>
      <c r="C77" s="8" t="str">
        <f>IFERROR(__xludf.DUMMYFUNCTION("""COMPUTED_VALUE"""),"Urbana")</f>
        <v>Urbana</v>
      </c>
      <c r="D77" s="8" t="str">
        <f>IFERROR(__xludf.DUMMYFUNCTION("""COMPUTED_VALUE"""),"OH")</f>
        <v>OH</v>
      </c>
      <c r="E77" s="8" t="str">
        <f>IFERROR(__xludf.DUMMYFUNCTION("""COMPUTED_VALUE"""),"USA")</f>
        <v>USA</v>
      </c>
      <c r="F77" s="8" t="str">
        <f>IFERROR(__xludf.DUMMYFUNCTION("""COMPUTED_VALUE"""),"Men Cricket Dbls")</f>
        <v>Men Cricket Dbls</v>
      </c>
      <c r="G77" s="8" t="str">
        <f>IFERROR(__xludf.DUMMYFUNCTION("""COMPUTED_VALUE"""),"3rd")</f>
        <v>3rd</v>
      </c>
      <c r="H77" s="8" t="str">
        <f>IFERROR(__xludf.DUMMYFUNCTION("""COMPUTED_VALUE"""),"OH BS 38")</f>
        <v>OH BS 38</v>
      </c>
      <c r="I77" s="9">
        <f>IFERROR(__xludf.DUMMYFUNCTION("""COMPUTED_VALUE"""),45444.0)</f>
        <v>45444</v>
      </c>
      <c r="J77" s="9">
        <f>IFERROR(__xludf.DUMMYFUNCTION("""COMPUTED_VALUE"""),46539.0)</f>
        <v>46539</v>
      </c>
      <c r="K77" s="10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7" t="str">
        <f>IFERROR(__xludf.DUMMYFUNCTION("""COMPUTED_VALUE"""),"Bugg")</f>
        <v>Bugg</v>
      </c>
      <c r="B78" s="8" t="str">
        <f>IFERROR(__xludf.DUMMYFUNCTION("""COMPUTED_VALUE"""),"Alan")</f>
        <v>Alan</v>
      </c>
      <c r="C78" s="8" t="str">
        <f>IFERROR(__xludf.DUMMYFUNCTION("""COMPUTED_VALUE"""),"Dalton")</f>
        <v>Dalton</v>
      </c>
      <c r="D78" s="8" t="str">
        <f>IFERROR(__xludf.DUMMYFUNCTION("""COMPUTED_VALUE"""),"GA")</f>
        <v>GA</v>
      </c>
      <c r="E78" s="8" t="str">
        <f>IFERROR(__xludf.DUMMYFUNCTION("""COMPUTED_VALUE"""),"USA")</f>
        <v>USA</v>
      </c>
      <c r="F78" s="8" t="str">
        <f>IFERROR(__xludf.DUMMYFUNCTION("""COMPUTED_VALUE"""),"Pro 501 Dbls")</f>
        <v>Pro 501 Dbls</v>
      </c>
      <c r="G78" s="8" t="str">
        <f>IFERROR(__xludf.DUMMYFUNCTION("""COMPUTED_VALUE"""),"1st")</f>
        <v>1st</v>
      </c>
      <c r="H78" s="8" t="str">
        <f>IFERROR(__xludf.DUMMYFUNCTION("""COMPUTED_VALUE"""),"TN BS 38")</f>
        <v>TN BS 38</v>
      </c>
      <c r="I78" s="9">
        <f>IFERROR(__xludf.DUMMYFUNCTION("""COMPUTED_VALUE"""),45444.0)</f>
        <v>45444</v>
      </c>
      <c r="J78" s="9">
        <f>IFERROR(__xludf.DUMMYFUNCTION("""COMPUTED_VALUE"""),46539.0)</f>
        <v>46539</v>
      </c>
      <c r="K78" s="1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7" t="str">
        <f>IFERROR(__xludf.DUMMYFUNCTION("""COMPUTED_VALUE"""),"BUIE")</f>
        <v>BUIE</v>
      </c>
      <c r="B79" s="8" t="str">
        <f>IFERROR(__xludf.DUMMYFUNCTION("""COMPUTED_VALUE"""),"ANTHONY")</f>
        <v>ANTHONY</v>
      </c>
      <c r="C79" s="8" t="str">
        <f>IFERROR(__xludf.DUMMYFUNCTION("""COMPUTED_VALUE"""),"WINTER HAVEN")</f>
        <v>WINTER HAVEN</v>
      </c>
      <c r="D79" s="8" t="str">
        <f>IFERROR(__xludf.DUMMYFUNCTION("""COMPUTED_VALUE"""),"FL")</f>
        <v>FL</v>
      </c>
      <c r="E79" s="8" t="str">
        <f>IFERROR(__xludf.DUMMYFUNCTION("""COMPUTED_VALUE"""),"USA")</f>
        <v>USA</v>
      </c>
      <c r="F79" s="8" t="str">
        <f>IFERROR(__xludf.DUMMYFUNCTION("""COMPUTED_VALUE"""),"MENS DBLS CRICKET")</f>
        <v>MENS DBLS CRICKET</v>
      </c>
      <c r="G79" s="8" t="str">
        <f>IFERROR(__xludf.DUMMYFUNCTION("""COMPUTED_VALUE"""),"3RD")</f>
        <v>3RD</v>
      </c>
      <c r="H79" s="8" t="str">
        <f>IFERROR(__xludf.DUMMYFUNCTION("""COMPUTED_VALUE"""),"BS 36 REGIONAL TX")</f>
        <v>BS 36 REGIONAL TX</v>
      </c>
      <c r="I79" s="9">
        <f>IFERROR(__xludf.DUMMYFUNCTION("""COMPUTED_VALUE"""),44713.0)</f>
        <v>44713</v>
      </c>
      <c r="J79" s="9">
        <f>IFERROR(__xludf.DUMMYFUNCTION("""COMPUTED_VALUE"""),45809.0)</f>
        <v>45809</v>
      </c>
      <c r="K79" s="10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7" t="str">
        <f>IFERROR(__xludf.DUMMYFUNCTION("""COMPUTED_VALUE"""),"Burd")</f>
        <v>Burd</v>
      </c>
      <c r="B80" s="8" t="str">
        <f>IFERROR(__xludf.DUMMYFUNCTION("""COMPUTED_VALUE"""),"Joshua")</f>
        <v>Joshua</v>
      </c>
      <c r="C80" s="8" t="str">
        <f>IFERROR(__xludf.DUMMYFUNCTION("""COMPUTED_VALUE"""),"Battle Creek")</f>
        <v>Battle Creek</v>
      </c>
      <c r="D80" s="8" t="str">
        <f>IFERROR(__xludf.DUMMYFUNCTION("""COMPUTED_VALUE"""),"MI")</f>
        <v>MI</v>
      </c>
      <c r="E80" s="8" t="str">
        <f>IFERROR(__xludf.DUMMYFUNCTION("""COMPUTED_VALUE"""),"USA")</f>
        <v>USA</v>
      </c>
      <c r="F80" s="8" t="str">
        <f>IFERROR(__xludf.DUMMYFUNCTION("""COMPUTED_VALUE"""),"Men Singles")</f>
        <v>Men Singles</v>
      </c>
      <c r="G80" s="8" t="str">
        <f>IFERROR(__xludf.DUMMYFUNCTION("""COMPUTED_VALUE"""),"2nd")</f>
        <v>2nd</v>
      </c>
      <c r="H80" s="8" t="str">
        <f>IFERROR(__xludf.DUMMYFUNCTION("""COMPUTED_VALUE"""),"MI BS 38")</f>
        <v>MI BS 38</v>
      </c>
      <c r="I80" s="9">
        <f>IFERROR(__xludf.DUMMYFUNCTION("""COMPUTED_VALUE"""),45444.0)</f>
        <v>45444</v>
      </c>
      <c r="J80" s="9">
        <f>IFERROR(__xludf.DUMMYFUNCTION("""COMPUTED_VALUE"""),46539.0)</f>
        <v>46539</v>
      </c>
      <c r="K80" s="1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7" t="str">
        <f>IFERROR(__xludf.DUMMYFUNCTION("""COMPUTED_VALUE"""),"BURDETT")</f>
        <v>BURDETT</v>
      </c>
      <c r="B81" s="8" t="str">
        <f>IFERROR(__xludf.DUMMYFUNCTION("""COMPUTED_VALUE"""),"JUSTIN")</f>
        <v>JUSTIN</v>
      </c>
      <c r="C81" s="8" t="str">
        <f>IFERROR(__xludf.DUMMYFUNCTION("""COMPUTED_VALUE"""),"ROCHESTER")</f>
        <v>ROCHESTER</v>
      </c>
      <c r="D81" s="8" t="str">
        <f>IFERROR(__xludf.DUMMYFUNCTION("""COMPUTED_VALUE"""),"NY")</f>
        <v>NY</v>
      </c>
      <c r="E81" s="8" t="str">
        <f>IFERROR(__xludf.DUMMYFUNCTION("""COMPUTED_VALUE"""),"USA")</f>
        <v>USA</v>
      </c>
      <c r="F81" s="8" t="str">
        <f>IFERROR(__xludf.DUMMYFUNCTION("""COMPUTED_VALUE"""),"MEN 501 DBLS")</f>
        <v>MEN 501 DBLS</v>
      </c>
      <c r="G81" s="8" t="str">
        <f>IFERROR(__xludf.DUMMYFUNCTION("""COMPUTED_VALUE"""),"2")</f>
        <v>2</v>
      </c>
      <c r="H81" s="8" t="str">
        <f>IFERROR(__xludf.DUMMYFUNCTION("""COMPUTED_VALUE"""),"BS 37 SC")</f>
        <v>BS 37 SC</v>
      </c>
      <c r="I81" s="9">
        <f>IFERROR(__xludf.DUMMYFUNCTION("""COMPUTED_VALUE"""),45078.0)</f>
        <v>45078</v>
      </c>
      <c r="J81" s="9">
        <f>IFERROR(__xludf.DUMMYFUNCTION("""COMPUTED_VALUE"""),46174.0)</f>
        <v>46174</v>
      </c>
      <c r="K81" s="10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7" t="str">
        <f>IFERROR(__xludf.DUMMYFUNCTION("""COMPUTED_VALUE"""),"Burger")</f>
        <v>Burger</v>
      </c>
      <c r="B82" s="8" t="str">
        <f>IFERROR(__xludf.DUMMYFUNCTION("""COMPUTED_VALUE"""),"Jeremiah")</f>
        <v>Jeremiah</v>
      </c>
      <c r="C82" s="8" t="str">
        <f>IFERROR(__xludf.DUMMYFUNCTION("""COMPUTED_VALUE"""),"White Lake")</f>
        <v>White Lake</v>
      </c>
      <c r="D82" s="8" t="str">
        <f>IFERROR(__xludf.DUMMYFUNCTION("""COMPUTED_VALUE"""),"MI")</f>
        <v>MI</v>
      </c>
      <c r="E82" s="8" t="str">
        <f>IFERROR(__xludf.DUMMYFUNCTION("""COMPUTED_VALUE"""),"USA")</f>
        <v>USA</v>
      </c>
      <c r="F82" s="8" t="str">
        <f>IFERROR(__xludf.DUMMYFUNCTION("""COMPUTED_VALUE"""),"Mixed Trips")</f>
        <v>Mixed Trips</v>
      </c>
      <c r="G82" s="8" t="str">
        <f>IFERROR(__xludf.DUMMYFUNCTION("""COMPUTED_VALUE"""),"1st")</f>
        <v>1st</v>
      </c>
      <c r="H82" s="8" t="str">
        <f>IFERROR(__xludf.DUMMYFUNCTION("""COMPUTED_VALUE"""),"MI BS 38")</f>
        <v>MI BS 38</v>
      </c>
      <c r="I82" s="9">
        <f>IFERROR(__xludf.DUMMYFUNCTION("""COMPUTED_VALUE"""),45444.0)</f>
        <v>45444</v>
      </c>
      <c r="J82" s="9">
        <f>IFERROR(__xludf.DUMMYFUNCTION("""COMPUTED_VALUE"""),46539.0)</f>
        <v>46539</v>
      </c>
      <c r="K82" s="10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7" t="str">
        <f>IFERROR(__xludf.DUMMYFUNCTION("""COMPUTED_VALUE"""),"Burk")</f>
        <v>Burk</v>
      </c>
      <c r="B83" s="8" t="str">
        <f>IFERROR(__xludf.DUMMYFUNCTION("""COMPUTED_VALUE"""),"Daniel")</f>
        <v>Daniel</v>
      </c>
      <c r="C83" s="8" t="str">
        <f>IFERROR(__xludf.DUMMYFUNCTION("""COMPUTED_VALUE"""),"Battle Creek")</f>
        <v>Battle Creek</v>
      </c>
      <c r="D83" s="8" t="str">
        <f>IFERROR(__xludf.DUMMYFUNCTION("""COMPUTED_VALUE"""),"MI")</f>
        <v>MI</v>
      </c>
      <c r="E83" s="8" t="str">
        <f>IFERROR(__xludf.DUMMYFUNCTION("""COMPUTED_VALUE"""),"USA")</f>
        <v>USA</v>
      </c>
      <c r="F83" s="8" t="str">
        <f>IFERROR(__xludf.DUMMYFUNCTION("""COMPUTED_VALUE"""),"Pro 501 Dbls")</f>
        <v>Pro 501 Dbls</v>
      </c>
      <c r="G83" s="8" t="str">
        <f>IFERROR(__xludf.DUMMYFUNCTION("""COMPUTED_VALUE"""),"1st")</f>
        <v>1st</v>
      </c>
      <c r="H83" s="8" t="str">
        <f>IFERROR(__xludf.DUMMYFUNCTION("""COMPUTED_VALUE"""),"MI BS 38")</f>
        <v>MI BS 38</v>
      </c>
      <c r="I83" s="9">
        <f>IFERROR(__xludf.DUMMYFUNCTION("""COMPUTED_VALUE"""),45444.0)</f>
        <v>45444</v>
      </c>
      <c r="J83" s="9">
        <f>IFERROR(__xludf.DUMMYFUNCTION("""COMPUTED_VALUE"""),46539.0)</f>
        <v>46539</v>
      </c>
      <c r="K83" s="10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7" t="str">
        <f>IFERROR(__xludf.DUMMYFUNCTION("""COMPUTED_VALUE"""),"Burnett")</f>
        <v>Burnett</v>
      </c>
      <c r="B84" s="8" t="str">
        <f>IFERROR(__xludf.DUMMYFUNCTION("""COMPUTED_VALUE"""),"Scott")</f>
        <v>Scott</v>
      </c>
      <c r="C84" s="8" t="str">
        <f>IFERROR(__xludf.DUMMYFUNCTION("""COMPUTED_VALUE"""),"Sacramento")</f>
        <v>Sacramento</v>
      </c>
      <c r="D84" s="8" t="str">
        <f>IFERROR(__xludf.DUMMYFUNCTION("""COMPUTED_VALUE"""),"CA")</f>
        <v>CA</v>
      </c>
      <c r="E84" s="8" t="str">
        <f>IFERROR(__xludf.DUMMYFUNCTION("""COMPUTED_VALUE"""),"USA")</f>
        <v>USA</v>
      </c>
      <c r="F84" s="8" t="str">
        <f>IFERROR(__xludf.DUMMYFUNCTION("""COMPUTED_VALUE"""),"CA BS 37")</f>
        <v>CA BS 37</v>
      </c>
      <c r="G84" s="8"/>
      <c r="H84" s="8" t="str">
        <f>IFERROR(__xludf.DUMMYFUNCTION("""COMPUTED_VALUE"""),"Known Ability")</f>
        <v>Known Ability</v>
      </c>
      <c r="I84" s="9">
        <f>IFERROR(__xludf.DUMMYFUNCTION("""COMPUTED_VALUE"""),41695.0)</f>
        <v>41695</v>
      </c>
      <c r="J84" s="9">
        <f>IFERROR(__xludf.DUMMYFUNCTION("""COMPUTED_VALUE"""),47635.0)</f>
        <v>47635</v>
      </c>
      <c r="K84" s="10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7" t="str">
        <f>IFERROR(__xludf.DUMMYFUNCTION("""COMPUTED_VALUE"""),"BURROWS")</f>
        <v>BURROWS</v>
      </c>
      <c r="B85" s="8" t="str">
        <f>IFERROR(__xludf.DUMMYFUNCTION("""COMPUTED_VALUE"""),"TYLER")</f>
        <v>TYLER</v>
      </c>
      <c r="C85" s="8" t="str">
        <f>IFERROR(__xludf.DUMMYFUNCTION("""COMPUTED_VALUE"""),"DES MOINES")</f>
        <v>DES MOINES</v>
      </c>
      <c r="D85" s="8" t="str">
        <f>IFERROR(__xludf.DUMMYFUNCTION("""COMPUTED_VALUE"""),"IA")</f>
        <v>IA</v>
      </c>
      <c r="E85" s="8" t="str">
        <f>IFERROR(__xludf.DUMMYFUNCTION("""COMPUTED_VALUE"""),"USA")</f>
        <v>USA</v>
      </c>
      <c r="F85" s="8" t="str">
        <f>IFERROR(__xludf.DUMMYFUNCTION("""COMPUTED_VALUE"""),"MEN 501 DBLS")</f>
        <v>MEN 501 DBLS</v>
      </c>
      <c r="G85" s="8" t="str">
        <f>IFERROR(__xludf.DUMMYFUNCTION("""COMPUTED_VALUE"""),"1")</f>
        <v>1</v>
      </c>
      <c r="H85" s="8" t="str">
        <f>IFERROR(__xludf.DUMMYFUNCTION("""COMPUTED_VALUE"""),"BS 37 NE")</f>
        <v>BS 37 NE</v>
      </c>
      <c r="I85" s="9">
        <f>IFERROR(__xludf.DUMMYFUNCTION("""COMPUTED_VALUE"""),45078.0)</f>
        <v>45078</v>
      </c>
      <c r="J85" s="9">
        <f>IFERROR(__xludf.DUMMYFUNCTION("""COMPUTED_VALUE"""),46174.0)</f>
        <v>46174</v>
      </c>
      <c r="K85" s="10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11" t="str">
        <f>IFERROR(__xludf.DUMMYFUNCTION("""COMPUTED_VALUE"""),"CADE")</f>
        <v>CADE</v>
      </c>
      <c r="B86" s="12" t="str">
        <f>IFERROR(__xludf.DUMMYFUNCTION("""COMPUTED_VALUE"""),"SHANE")</f>
        <v>SHANE</v>
      </c>
      <c r="C86" s="12" t="str">
        <f>IFERROR(__xludf.DUMMYFUNCTION("""COMPUTED_VALUE"""),"LOGAN")</f>
        <v>LOGAN</v>
      </c>
      <c r="D86" s="12" t="str">
        <f>IFERROR(__xludf.DUMMYFUNCTION("""COMPUTED_VALUE"""),"OH")</f>
        <v>OH</v>
      </c>
      <c r="E86" s="12" t="str">
        <f>IFERROR(__xludf.DUMMYFUNCTION("""COMPUTED_VALUE"""),"USA")</f>
        <v>USA</v>
      </c>
      <c r="F86" s="12" t="str">
        <f>IFERROR(__xludf.DUMMYFUNCTION("""COMPUTED_VALUE"""),"MEN 501 DBLS")</f>
        <v>MEN 501 DBLS</v>
      </c>
      <c r="G86" s="12" t="str">
        <f>IFERROR(__xludf.DUMMYFUNCTION("""COMPUTED_VALUE"""),"3")</f>
        <v>3</v>
      </c>
      <c r="H86" s="12" t="str">
        <f>IFERROR(__xludf.DUMMYFUNCTION("""COMPUTED_VALUE"""),"BS 37 OH")</f>
        <v>BS 37 OH</v>
      </c>
      <c r="I86" s="13">
        <f>IFERROR(__xludf.DUMMYFUNCTION("""COMPUTED_VALUE"""),45078.0)</f>
        <v>45078</v>
      </c>
      <c r="J86" s="13">
        <f>IFERROR(__xludf.DUMMYFUNCTION("""COMPUTED_VALUE"""),46174.0)</f>
        <v>46174</v>
      </c>
      <c r="K86" s="10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7" t="str">
        <f>IFERROR(__xludf.DUMMYFUNCTION("""COMPUTED_VALUE"""),"Campos")</f>
        <v>Campos</v>
      </c>
      <c r="B87" s="8" t="str">
        <f>IFERROR(__xludf.DUMMYFUNCTION("""COMPUTED_VALUE"""),"Jesse")</f>
        <v>Jesse</v>
      </c>
      <c r="C87" s="8" t="str">
        <f>IFERROR(__xludf.DUMMYFUNCTION("""COMPUTED_VALUE"""),"Rockford")</f>
        <v>Rockford</v>
      </c>
      <c r="D87" s="8" t="str">
        <f>IFERROR(__xludf.DUMMYFUNCTION("""COMPUTED_VALUE"""),"IL")</f>
        <v>IL</v>
      </c>
      <c r="E87" s="8" t="str">
        <f>IFERROR(__xludf.DUMMYFUNCTION("""COMPUTED_VALUE"""),"USA")</f>
        <v>USA</v>
      </c>
      <c r="F87" s="8" t="str">
        <f>IFERROR(__xludf.DUMMYFUNCTION("""COMPUTED_VALUE"""),"Known Pro")</f>
        <v>Known Pro</v>
      </c>
      <c r="G87" s="8"/>
      <c r="H87" s="8" t="str">
        <f>IFERROR(__xludf.DUMMYFUNCTION("""COMPUTED_VALUE"""),"Known Ability")</f>
        <v>Known Ability</v>
      </c>
      <c r="I87" s="9">
        <f>IFERROR(__xludf.DUMMYFUNCTION("""COMPUTED_VALUE"""),36892.0)</f>
        <v>36892</v>
      </c>
      <c r="J87" s="9">
        <f>IFERROR(__xludf.DUMMYFUNCTION("""COMPUTED_VALUE"""),47635.0)</f>
        <v>47635</v>
      </c>
      <c r="K87" s="10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7" t="str">
        <f>IFERROR(__xludf.DUMMYFUNCTION("""COMPUTED_VALUE"""),"Carlson")</f>
        <v>Carlson</v>
      </c>
      <c r="B88" s="8" t="str">
        <f>IFERROR(__xludf.DUMMYFUNCTION("""COMPUTED_VALUE"""),"Chris")</f>
        <v>Chris</v>
      </c>
      <c r="C88" s="8" t="str">
        <f>IFERROR(__xludf.DUMMYFUNCTION("""COMPUTED_VALUE"""),"Wallace")</f>
        <v>Wallace</v>
      </c>
      <c r="D88" s="8" t="str">
        <f>IFERROR(__xludf.DUMMYFUNCTION("""COMPUTED_VALUE"""),"ID")</f>
        <v>ID</v>
      </c>
      <c r="E88" s="8" t="str">
        <f>IFERROR(__xludf.DUMMYFUNCTION("""COMPUTED_VALUE"""),"USA")</f>
        <v>USA</v>
      </c>
      <c r="F88" s="8" t="str">
        <f>IFERROR(__xludf.DUMMYFUNCTION("""COMPUTED_VALUE"""),"Men Cricket Dbls")</f>
        <v>Men Cricket Dbls</v>
      </c>
      <c r="G88" s="8" t="str">
        <f>IFERROR(__xludf.DUMMYFUNCTION("""COMPUTED_VALUE"""),"2nd")</f>
        <v>2nd</v>
      </c>
      <c r="H88" s="8" t="str">
        <f>IFERROR(__xludf.DUMMYFUNCTION("""COMPUTED_VALUE"""),"WA BS 38")</f>
        <v>WA BS 38</v>
      </c>
      <c r="I88" s="9">
        <f>IFERROR(__xludf.DUMMYFUNCTION("""COMPUTED_VALUE"""),45444.0)</f>
        <v>45444</v>
      </c>
      <c r="J88" s="9">
        <f>IFERROR(__xludf.DUMMYFUNCTION("""COMPUTED_VALUE"""),46539.0)</f>
        <v>46539</v>
      </c>
      <c r="K88" s="1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7" t="str">
        <f>IFERROR(__xludf.DUMMYFUNCTION("""COMPUTED_VALUE"""),"Carpenter")</f>
        <v>Carpenter</v>
      </c>
      <c r="B89" s="8" t="str">
        <f>IFERROR(__xludf.DUMMYFUNCTION("""COMPUTED_VALUE"""),"Jeffery")</f>
        <v>Jeffery</v>
      </c>
      <c r="C89" s="8" t="str">
        <f>IFERROR(__xludf.DUMMYFUNCTION("""COMPUTED_VALUE"""),"Ashland")</f>
        <v>Ashland</v>
      </c>
      <c r="D89" s="8" t="str">
        <f>IFERROR(__xludf.DUMMYFUNCTION("""COMPUTED_VALUE"""),"OH")</f>
        <v>OH</v>
      </c>
      <c r="E89" s="8" t="str">
        <f>IFERROR(__xludf.DUMMYFUNCTION("""COMPUTED_VALUE"""),"USA")</f>
        <v>USA</v>
      </c>
      <c r="F89" s="8" t="str">
        <f>IFERROR(__xludf.DUMMYFUNCTION("""COMPUTED_VALUE"""),"Pro 501 Dbls")</f>
        <v>Pro 501 Dbls</v>
      </c>
      <c r="G89" s="8" t="str">
        <f>IFERROR(__xludf.DUMMYFUNCTION("""COMPUTED_VALUE"""),"3rd")</f>
        <v>3rd</v>
      </c>
      <c r="H89" s="8" t="str">
        <f>IFERROR(__xludf.DUMMYFUNCTION("""COMPUTED_VALUE"""),"OH BS 38")</f>
        <v>OH BS 38</v>
      </c>
      <c r="I89" s="9">
        <f>IFERROR(__xludf.DUMMYFUNCTION("""COMPUTED_VALUE"""),45444.0)</f>
        <v>45444</v>
      </c>
      <c r="J89" s="9">
        <f>IFERROR(__xludf.DUMMYFUNCTION("""COMPUTED_VALUE"""),46539.0)</f>
        <v>46539</v>
      </c>
      <c r="K89" s="10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7" t="str">
        <f>IFERROR(__xludf.DUMMYFUNCTION("""COMPUTED_VALUE"""),"Carter")</f>
        <v>Carter</v>
      </c>
      <c r="B90" s="8" t="str">
        <f>IFERROR(__xludf.DUMMYFUNCTION("""COMPUTED_VALUE"""),"Roger")</f>
        <v>Roger</v>
      </c>
      <c r="C90" s="8" t="str">
        <f>IFERROR(__xludf.DUMMYFUNCTION("""COMPUTED_VALUE"""),"Auburn")</f>
        <v>Auburn</v>
      </c>
      <c r="D90" s="8" t="str">
        <f>IFERROR(__xludf.DUMMYFUNCTION("""COMPUTED_VALUE"""),"AL")</f>
        <v>AL</v>
      </c>
      <c r="E90" s="8" t="str">
        <f>IFERROR(__xludf.DUMMYFUNCTION("""COMPUTED_VALUE"""),"USA")</f>
        <v>USA</v>
      </c>
      <c r="F90" s="8" t="str">
        <f>IFERROR(__xludf.DUMMYFUNCTION("""COMPUTED_VALUE"""),"ADO 2014")</f>
        <v>ADO 2014</v>
      </c>
      <c r="G90" s="8" t="str">
        <f>IFERROR(__xludf.DUMMYFUNCTION("""COMPUTED_VALUE"""),"49th")</f>
        <v>49th</v>
      </c>
      <c r="H90" s="8" t="str">
        <f>IFERROR(__xludf.DUMMYFUNCTION("""COMPUTED_VALUE"""),"Known Ability")</f>
        <v>Known Ability</v>
      </c>
      <c r="I90" s="9">
        <f>IFERROR(__xludf.DUMMYFUNCTION("""COMPUTED_VALUE"""),41695.0)</f>
        <v>41695</v>
      </c>
      <c r="J90" s="9">
        <f>IFERROR(__xludf.DUMMYFUNCTION("""COMPUTED_VALUE"""),47635.0)</f>
        <v>47635</v>
      </c>
      <c r="K90" s="10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7" t="str">
        <f>IFERROR(__xludf.DUMMYFUNCTION("""COMPUTED_VALUE"""),"CATALANO")</f>
        <v>CATALANO</v>
      </c>
      <c r="B91" s="8" t="str">
        <f>IFERROR(__xludf.DUMMYFUNCTION("""COMPUTED_VALUE"""),"ROBERT")</f>
        <v>ROBERT</v>
      </c>
      <c r="C91" s="8" t="str">
        <f>IFERROR(__xludf.DUMMYFUNCTION("""COMPUTED_VALUE"""),"PITTSBURGH")</f>
        <v>PITTSBURGH</v>
      </c>
      <c r="D91" s="8" t="str">
        <f>IFERROR(__xludf.DUMMYFUNCTION("""COMPUTED_VALUE"""),"PA")</f>
        <v>PA</v>
      </c>
      <c r="E91" s="8" t="str">
        <f>IFERROR(__xludf.DUMMYFUNCTION("""COMPUTED_VALUE"""),"USA")</f>
        <v>USA</v>
      </c>
      <c r="F91" s="8" t="str">
        <f>IFERROR(__xludf.DUMMYFUNCTION("""COMPUTED_VALUE"""),"MENS SINGLES CRICKET")</f>
        <v>MENS SINGLES CRICKET</v>
      </c>
      <c r="G91" s="8" t="str">
        <f>IFERROR(__xludf.DUMMYFUNCTION("""COMPUTED_VALUE"""),"3RD")</f>
        <v>3RD</v>
      </c>
      <c r="H91" s="8" t="str">
        <f>IFERROR(__xludf.DUMMYFUNCTION("""COMPUTED_VALUE"""),"BS 36 REGIONAL NY")</f>
        <v>BS 36 REGIONAL NY</v>
      </c>
      <c r="I91" s="9">
        <f>IFERROR(__xludf.DUMMYFUNCTION("""COMPUTED_VALUE"""),44713.0)</f>
        <v>44713</v>
      </c>
      <c r="J91" s="9">
        <f>IFERROR(__xludf.DUMMYFUNCTION("""COMPUTED_VALUE"""),45809.0)</f>
        <v>45809</v>
      </c>
      <c r="K91" s="10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7" t="str">
        <f>IFERROR(__xludf.DUMMYFUNCTION("""COMPUTED_VALUE"""),"CERVELLI")</f>
        <v>CERVELLI</v>
      </c>
      <c r="B92" s="8" t="str">
        <f>IFERROR(__xludf.DUMMYFUNCTION("""COMPUTED_VALUE"""),"BRENT")</f>
        <v>BRENT</v>
      </c>
      <c r="C92" s="8" t="str">
        <f>IFERROR(__xludf.DUMMYFUNCTION("""COMPUTED_VALUE"""),"TAYLOR")</f>
        <v>TAYLOR</v>
      </c>
      <c r="D92" s="8" t="str">
        <f>IFERROR(__xludf.DUMMYFUNCTION("""COMPUTED_VALUE"""),"MI")</f>
        <v>MI</v>
      </c>
      <c r="E92" s="8" t="str">
        <f>IFERROR(__xludf.DUMMYFUNCTION("""COMPUTED_VALUE"""),"USA")</f>
        <v>USA</v>
      </c>
      <c r="F92" s="8" t="str">
        <f>IFERROR(__xludf.DUMMYFUNCTION("""COMPUTED_VALUE"""),"MENS SINGLES CRICKET")</f>
        <v>MENS SINGLES CRICKET</v>
      </c>
      <c r="G92" s="8" t="str">
        <f>IFERROR(__xludf.DUMMYFUNCTION("""COMPUTED_VALUE"""),"2ND")</f>
        <v>2ND</v>
      </c>
      <c r="H92" s="8" t="str">
        <f>IFERROR(__xludf.DUMMYFUNCTION("""COMPUTED_VALUE"""),"BS 36 REGIONAL PA")</f>
        <v>BS 36 REGIONAL PA</v>
      </c>
      <c r="I92" s="9">
        <f>IFERROR(__xludf.DUMMYFUNCTION("""COMPUTED_VALUE"""),44713.0)</f>
        <v>44713</v>
      </c>
      <c r="J92" s="9">
        <f>IFERROR(__xludf.DUMMYFUNCTION("""COMPUTED_VALUE"""),45809.0)</f>
        <v>45809</v>
      </c>
      <c r="K92" s="10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7" t="str">
        <f>IFERROR(__xludf.DUMMYFUNCTION("""COMPUTED_VALUE"""),"CHAMPAGNE")</f>
        <v>CHAMPAGNE</v>
      </c>
      <c r="B93" s="8" t="str">
        <f>IFERROR(__xludf.DUMMYFUNCTION("""COMPUTED_VALUE"""),"JACK")</f>
        <v>JACK</v>
      </c>
      <c r="C93" s="8" t="str">
        <f>IFERROR(__xludf.DUMMYFUNCTION("""COMPUTED_VALUE"""),"LAWTON")</f>
        <v>LAWTON</v>
      </c>
      <c r="D93" s="8" t="str">
        <f>IFERROR(__xludf.DUMMYFUNCTION("""COMPUTED_VALUE"""),"OK")</f>
        <v>OK</v>
      </c>
      <c r="E93" s="8" t="str">
        <f>IFERROR(__xludf.DUMMYFUNCTION("""COMPUTED_VALUE"""),"USA")</f>
        <v>USA</v>
      </c>
      <c r="F93" s="8" t="str">
        <f>IFERROR(__xludf.DUMMYFUNCTION("""COMPUTED_VALUE"""),"MEN SINGLES")</f>
        <v>MEN SINGLES</v>
      </c>
      <c r="G93" s="8" t="str">
        <f>IFERROR(__xludf.DUMMYFUNCTION("""COMPUTED_VALUE"""),"2")</f>
        <v>2</v>
      </c>
      <c r="H93" s="8" t="str">
        <f>IFERROR(__xludf.DUMMYFUNCTION("""COMPUTED_VALUE"""),"BS 37 TX")</f>
        <v>BS 37 TX</v>
      </c>
      <c r="I93" s="9">
        <f>IFERROR(__xludf.DUMMYFUNCTION("""COMPUTED_VALUE"""),45078.0)</f>
        <v>45078</v>
      </c>
      <c r="J93" s="9">
        <f>IFERROR(__xludf.DUMMYFUNCTION("""COMPUTED_VALUE"""),46174.0)</f>
        <v>46174</v>
      </c>
      <c r="K93" s="10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7" t="str">
        <f>IFERROR(__xludf.DUMMYFUNCTION("""COMPUTED_VALUE"""),"Chavez")</f>
        <v>Chavez</v>
      </c>
      <c r="B94" s="8" t="str">
        <f>IFERROR(__xludf.DUMMYFUNCTION("""COMPUTED_VALUE"""),"Ralph")</f>
        <v>Ralph</v>
      </c>
      <c r="C94" s="8" t="str">
        <f>IFERROR(__xludf.DUMMYFUNCTION("""COMPUTED_VALUE"""),"Corona")</f>
        <v>Corona</v>
      </c>
      <c r="D94" s="8" t="str">
        <f>IFERROR(__xludf.DUMMYFUNCTION("""COMPUTED_VALUE"""),"CA")</f>
        <v>CA</v>
      </c>
      <c r="E94" s="8" t="str">
        <f>IFERROR(__xludf.DUMMYFUNCTION("""COMPUTED_VALUE"""),"USA")</f>
        <v>USA</v>
      </c>
      <c r="F94" s="8" t="str">
        <f>IFERROR(__xludf.DUMMYFUNCTION("""COMPUTED_VALUE"""),"Known Pro")</f>
        <v>Known Pro</v>
      </c>
      <c r="G94" s="8"/>
      <c r="H94" s="8" t="str">
        <f>IFERROR(__xludf.DUMMYFUNCTION("""COMPUTED_VALUE"""),"Known Ability")</f>
        <v>Known Ability</v>
      </c>
      <c r="I94" s="9">
        <f>IFERROR(__xludf.DUMMYFUNCTION("""COMPUTED_VALUE"""),36892.0)</f>
        <v>36892</v>
      </c>
      <c r="J94" s="9">
        <f>IFERROR(__xludf.DUMMYFUNCTION("""COMPUTED_VALUE"""),47635.0)</f>
        <v>47635</v>
      </c>
      <c r="K94" s="10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7" t="str">
        <f>IFERROR(__xludf.DUMMYFUNCTION("""COMPUTED_VALUE"""),"CHRISMAN")</f>
        <v>CHRISMAN</v>
      </c>
      <c r="B95" s="8" t="str">
        <f>IFERROR(__xludf.DUMMYFUNCTION("""COMPUTED_VALUE"""),"JORDAN")</f>
        <v>JORDAN</v>
      </c>
      <c r="C95" s="8" t="str">
        <f>IFERROR(__xludf.DUMMYFUNCTION("""COMPUTED_VALUE"""),"LAWTON")</f>
        <v>LAWTON</v>
      </c>
      <c r="D95" s="8" t="str">
        <f>IFERROR(__xludf.DUMMYFUNCTION("""COMPUTED_VALUE"""),"OK")</f>
        <v>OK</v>
      </c>
      <c r="E95" s="8" t="str">
        <f>IFERROR(__xludf.DUMMYFUNCTION("""COMPUTED_VALUE"""),"USA")</f>
        <v>USA</v>
      </c>
      <c r="F95" s="8" t="str">
        <f>IFERROR(__xludf.DUMMYFUNCTION("""COMPUTED_VALUE"""),"MEN 501 DBLS")</f>
        <v>MEN 501 DBLS</v>
      </c>
      <c r="G95" s="8" t="str">
        <f>IFERROR(__xludf.DUMMYFUNCTION("""COMPUTED_VALUE"""),"3")</f>
        <v>3</v>
      </c>
      <c r="H95" s="8" t="str">
        <f>IFERROR(__xludf.DUMMYFUNCTION("""COMPUTED_VALUE"""),"BS 37 FL")</f>
        <v>BS 37 FL</v>
      </c>
      <c r="I95" s="9">
        <f>IFERROR(__xludf.DUMMYFUNCTION("""COMPUTED_VALUE"""),45078.0)</f>
        <v>45078</v>
      </c>
      <c r="J95" s="9">
        <f>IFERROR(__xludf.DUMMYFUNCTION("""COMPUTED_VALUE"""),46174.0)</f>
        <v>46174</v>
      </c>
      <c r="K95" s="10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7" t="str">
        <f>IFERROR(__xludf.DUMMYFUNCTION("""COMPUTED_VALUE"""),"Citizen")</f>
        <v>Citizen</v>
      </c>
      <c r="B96" s="8" t="str">
        <f>IFERROR(__xludf.DUMMYFUNCTION("""COMPUTED_VALUE"""),"Christopher")</f>
        <v>Christopher</v>
      </c>
      <c r="C96" s="8" t="str">
        <f>IFERROR(__xludf.DUMMYFUNCTION("""COMPUTED_VALUE"""),"Houston")</f>
        <v>Houston</v>
      </c>
      <c r="D96" s="8" t="str">
        <f>IFERROR(__xludf.DUMMYFUNCTION("""COMPUTED_VALUE"""),"TX")</f>
        <v>TX</v>
      </c>
      <c r="E96" s="8" t="str">
        <f>IFERROR(__xludf.DUMMYFUNCTION("""COMPUTED_VALUE"""),"USA")</f>
        <v>USA</v>
      </c>
      <c r="F96" s="8" t="str">
        <f>IFERROR(__xludf.DUMMYFUNCTION("""COMPUTED_VALUE"""),"Men 501 Dbls")</f>
        <v>Men 501 Dbls</v>
      </c>
      <c r="G96" s="8" t="str">
        <f>IFERROR(__xludf.DUMMYFUNCTION("""COMPUTED_VALUE"""),"2nd")</f>
        <v>2nd</v>
      </c>
      <c r="H96" s="8" t="str">
        <f>IFERROR(__xludf.DUMMYFUNCTION("""COMPUTED_VALUE"""),"TX BS 38")</f>
        <v>TX BS 38</v>
      </c>
      <c r="I96" s="9">
        <f>IFERROR(__xludf.DUMMYFUNCTION("""COMPUTED_VALUE"""),45444.0)</f>
        <v>45444</v>
      </c>
      <c r="J96" s="9">
        <f>IFERROR(__xludf.DUMMYFUNCTION("""COMPUTED_VALUE"""),46539.0)</f>
        <v>46539</v>
      </c>
      <c r="K96" s="10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7" t="str">
        <f>IFERROR(__xludf.DUMMYFUNCTION("""COMPUTED_VALUE"""),"Clark")</f>
        <v>Clark</v>
      </c>
      <c r="B97" s="8" t="str">
        <f>IFERROR(__xludf.DUMMYFUNCTION("""COMPUTED_VALUE"""),"Grant")</f>
        <v>Grant</v>
      </c>
      <c r="C97" s="8" t="str">
        <f>IFERROR(__xludf.DUMMYFUNCTION("""COMPUTED_VALUE"""),"Grove City")</f>
        <v>Grove City</v>
      </c>
      <c r="D97" s="8" t="str">
        <f>IFERROR(__xludf.DUMMYFUNCTION("""COMPUTED_VALUE"""),"OH")</f>
        <v>OH</v>
      </c>
      <c r="E97" s="8" t="str">
        <f>IFERROR(__xludf.DUMMYFUNCTION("""COMPUTED_VALUE"""),"USA")</f>
        <v>USA</v>
      </c>
      <c r="F97" s="8" t="str">
        <f>IFERROR(__xludf.DUMMYFUNCTION("""COMPUTED_VALUE"""),"Men Cricket Dbls")</f>
        <v>Men Cricket Dbls</v>
      </c>
      <c r="G97" s="8" t="str">
        <f>IFERROR(__xludf.DUMMYFUNCTION("""COMPUTED_VALUE"""),"2nd")</f>
        <v>2nd</v>
      </c>
      <c r="H97" s="8" t="str">
        <f>IFERROR(__xludf.DUMMYFUNCTION("""COMPUTED_VALUE"""),"OH BS 38")</f>
        <v>OH BS 38</v>
      </c>
      <c r="I97" s="9">
        <f>IFERROR(__xludf.DUMMYFUNCTION("""COMPUTED_VALUE"""),45444.0)</f>
        <v>45444</v>
      </c>
      <c r="J97" s="9">
        <f>IFERROR(__xludf.DUMMYFUNCTION("""COMPUTED_VALUE"""),46539.0)</f>
        <v>46539</v>
      </c>
      <c r="K97" s="10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7" t="str">
        <f>IFERROR(__xludf.DUMMYFUNCTION("""COMPUTED_VALUE"""),"Clauwers")</f>
        <v>Clauwers</v>
      </c>
      <c r="B98" s="8" t="str">
        <f>IFERROR(__xludf.DUMMYFUNCTION("""COMPUTED_VALUE"""),"Alain")</f>
        <v>Alain</v>
      </c>
      <c r="C98" s="8"/>
      <c r="D98" s="8" t="str">
        <f>IFERROR(__xludf.DUMMYFUNCTION("""COMPUTED_VALUE"""),"UNK")</f>
        <v>UNK</v>
      </c>
      <c r="E98" s="8" t="str">
        <f>IFERROR(__xludf.DUMMYFUNCTION("""COMPUTED_VALUE"""),"USA")</f>
        <v>USA</v>
      </c>
      <c r="F98" s="8" t="str">
        <f>IFERROR(__xludf.DUMMYFUNCTION("""COMPUTED_VALUE"""),"Known Pro")</f>
        <v>Known Pro</v>
      </c>
      <c r="G98" s="8"/>
      <c r="H98" s="8" t="str">
        <f>IFERROR(__xludf.DUMMYFUNCTION("""COMPUTED_VALUE"""),"Known Ability")</f>
        <v>Known Ability</v>
      </c>
      <c r="I98" s="9">
        <f>IFERROR(__xludf.DUMMYFUNCTION("""COMPUTED_VALUE"""),36892.0)</f>
        <v>36892</v>
      </c>
      <c r="J98" s="9">
        <f>IFERROR(__xludf.DUMMYFUNCTION("""COMPUTED_VALUE"""),47635.0)</f>
        <v>47635</v>
      </c>
      <c r="K98" s="10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7" t="str">
        <f>IFERROR(__xludf.DUMMYFUNCTION("""COMPUTED_VALUE"""),"CLINE")</f>
        <v>CLINE</v>
      </c>
      <c r="B99" s="8" t="str">
        <f>IFERROR(__xludf.DUMMYFUNCTION("""COMPUTED_VALUE"""),"MATTHEW")</f>
        <v>MATTHEW</v>
      </c>
      <c r="C99" s="8" t="str">
        <f>IFERROR(__xludf.DUMMYFUNCTION("""COMPUTED_VALUE"""),"CHEEKTOWAGA")</f>
        <v>CHEEKTOWAGA</v>
      </c>
      <c r="D99" s="8" t="str">
        <f>IFERROR(__xludf.DUMMYFUNCTION("""COMPUTED_VALUE"""),"NY")</f>
        <v>NY</v>
      </c>
      <c r="E99" s="8" t="str">
        <f>IFERROR(__xludf.DUMMYFUNCTION("""COMPUTED_VALUE"""),"USA")</f>
        <v>USA</v>
      </c>
      <c r="F99" s="8" t="str">
        <f>IFERROR(__xludf.DUMMYFUNCTION("""COMPUTED_VALUE"""),"MEN CRICKET DBLS")</f>
        <v>MEN CRICKET DBLS</v>
      </c>
      <c r="G99" s="8" t="str">
        <f>IFERROR(__xludf.DUMMYFUNCTION("""COMPUTED_VALUE"""),"3")</f>
        <v>3</v>
      </c>
      <c r="H99" s="8" t="str">
        <f>IFERROR(__xludf.DUMMYFUNCTION("""COMPUTED_VALUE"""),"BS 37 NY")</f>
        <v>BS 37 NY</v>
      </c>
      <c r="I99" s="9">
        <f>IFERROR(__xludf.DUMMYFUNCTION("""COMPUTED_VALUE"""),45078.0)</f>
        <v>45078</v>
      </c>
      <c r="J99" s="9">
        <f>IFERROR(__xludf.DUMMYFUNCTION("""COMPUTED_VALUE"""),46174.0)</f>
        <v>46174</v>
      </c>
      <c r="K99" s="10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7" t="str">
        <f>IFERROR(__xludf.DUMMYFUNCTION("""COMPUTED_VALUE"""),"COFFIE")</f>
        <v>COFFIE</v>
      </c>
      <c r="B100" s="8" t="str">
        <f>IFERROR(__xludf.DUMMYFUNCTION("""COMPUTED_VALUE"""),"THEODORE")</f>
        <v>THEODORE</v>
      </c>
      <c r="C100" s="8" t="str">
        <f>IFERROR(__xludf.DUMMYFUNCTION("""COMPUTED_VALUE"""),"BLACK RIVER")</f>
        <v>BLACK RIVER</v>
      </c>
      <c r="D100" s="8" t="str">
        <f>IFERROR(__xludf.DUMMYFUNCTION("""COMPUTED_VALUE"""),"NY")</f>
        <v>NY</v>
      </c>
      <c r="E100" s="8" t="str">
        <f>IFERROR(__xludf.DUMMYFUNCTION("""COMPUTED_VALUE"""),"USA")</f>
        <v>USA</v>
      </c>
      <c r="F100" s="8" t="str">
        <f>IFERROR(__xludf.DUMMYFUNCTION("""COMPUTED_VALUE"""),"MENS SINGLES CRICKET")</f>
        <v>MENS SINGLES CRICKET</v>
      </c>
      <c r="G100" s="8" t="str">
        <f>IFERROR(__xludf.DUMMYFUNCTION("""COMPUTED_VALUE"""),"1ST")</f>
        <v>1ST</v>
      </c>
      <c r="H100" s="8" t="str">
        <f>IFERROR(__xludf.DUMMYFUNCTION("""COMPUTED_VALUE"""),"BS 36 REGIONAL NY")</f>
        <v>BS 36 REGIONAL NY</v>
      </c>
      <c r="I100" s="9">
        <f>IFERROR(__xludf.DUMMYFUNCTION("""COMPUTED_VALUE"""),44713.0)</f>
        <v>44713</v>
      </c>
      <c r="J100" s="9">
        <f>IFERROR(__xludf.DUMMYFUNCTION("""COMPUTED_VALUE"""),45809.0)</f>
        <v>45809</v>
      </c>
      <c r="K100" s="10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7" t="str">
        <f>IFERROR(__xludf.DUMMYFUNCTION("""COMPUTED_VALUE"""),"COHEA")</f>
        <v>COHEA</v>
      </c>
      <c r="B101" s="8" t="str">
        <f>IFERROR(__xludf.DUMMYFUNCTION("""COMPUTED_VALUE"""),"JASON")</f>
        <v>JASON</v>
      </c>
      <c r="C101" s="8" t="str">
        <f>IFERROR(__xludf.DUMMYFUNCTION("""COMPUTED_VALUE"""),"GRAND PRAIRIE")</f>
        <v>GRAND PRAIRIE</v>
      </c>
      <c r="D101" s="8" t="str">
        <f>IFERROR(__xludf.DUMMYFUNCTION("""COMPUTED_VALUE"""),"TX")</f>
        <v>TX</v>
      </c>
      <c r="E101" s="8" t="str">
        <f>IFERROR(__xludf.DUMMYFUNCTION("""COMPUTED_VALUE"""),"USA")</f>
        <v>USA</v>
      </c>
      <c r="F101" s="8" t="str">
        <f>IFERROR(__xludf.DUMMYFUNCTION("""COMPUTED_VALUE"""),"MIXED 701 TRIPLES")</f>
        <v>MIXED 701 TRIPLES</v>
      </c>
      <c r="G101" s="8" t="str">
        <f>IFERROR(__xludf.DUMMYFUNCTION("""COMPUTED_VALUE"""),"1")</f>
        <v>1</v>
      </c>
      <c r="H101" s="8" t="str">
        <f>IFERROR(__xludf.DUMMYFUNCTION("""COMPUTED_VALUE"""),"BS 37 TX")</f>
        <v>BS 37 TX</v>
      </c>
      <c r="I101" s="9">
        <f>IFERROR(__xludf.DUMMYFUNCTION("""COMPUTED_VALUE"""),45078.0)</f>
        <v>45078</v>
      </c>
      <c r="J101" s="9">
        <f>IFERROR(__xludf.DUMMYFUNCTION("""COMPUTED_VALUE"""),46174.0)</f>
        <v>46174</v>
      </c>
      <c r="K101" s="10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7" t="str">
        <f>IFERROR(__xludf.DUMMYFUNCTION("""COMPUTED_VALUE"""),"COHELEY")</f>
        <v>COHELEY</v>
      </c>
      <c r="B102" s="8" t="str">
        <f>IFERROR(__xludf.DUMMYFUNCTION("""COMPUTED_VALUE"""),"KYLE")</f>
        <v>KYLE</v>
      </c>
      <c r="C102" s="8" t="str">
        <f>IFERROR(__xludf.DUMMYFUNCTION("""COMPUTED_VALUE"""),"CLEARWATER")</f>
        <v>CLEARWATER</v>
      </c>
      <c r="D102" s="8" t="str">
        <f>IFERROR(__xludf.DUMMYFUNCTION("""COMPUTED_VALUE"""),"FL")</f>
        <v>FL</v>
      </c>
      <c r="E102" s="8" t="str">
        <f>IFERROR(__xludf.DUMMYFUNCTION("""COMPUTED_VALUE"""),"USA")</f>
        <v>USA</v>
      </c>
      <c r="F102" s="8" t="str">
        <f>IFERROR(__xludf.DUMMYFUNCTION("""COMPUTED_VALUE"""),"MENS DBLS CRICKET")</f>
        <v>MENS DBLS CRICKET</v>
      </c>
      <c r="G102" s="8" t="str">
        <f>IFERROR(__xludf.DUMMYFUNCTION("""COMPUTED_VALUE"""),"1ST")</f>
        <v>1ST</v>
      </c>
      <c r="H102" s="8" t="str">
        <f>IFERROR(__xludf.DUMMYFUNCTION("""COMPUTED_VALUE"""),"BS 36 REGIONAL PA")</f>
        <v>BS 36 REGIONAL PA</v>
      </c>
      <c r="I102" s="9">
        <f>IFERROR(__xludf.DUMMYFUNCTION("""COMPUTED_VALUE"""),44713.0)</f>
        <v>44713</v>
      </c>
      <c r="J102" s="9">
        <f>IFERROR(__xludf.DUMMYFUNCTION("""COMPUTED_VALUE"""),45809.0)</f>
        <v>45809</v>
      </c>
      <c r="K102" s="10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7" t="str">
        <f>IFERROR(__xludf.DUMMYFUNCTION("""COMPUTED_VALUE"""),"COHELEY")</f>
        <v>COHELEY</v>
      </c>
      <c r="B103" s="8" t="str">
        <f>IFERROR(__xludf.DUMMYFUNCTION("""COMPUTED_VALUE"""),"MATTHEW")</f>
        <v>MATTHEW</v>
      </c>
      <c r="C103" s="8" t="str">
        <f>IFERROR(__xludf.DUMMYFUNCTION("""COMPUTED_VALUE"""),"HUDSON")</f>
        <v>HUDSON</v>
      </c>
      <c r="D103" s="8" t="str">
        <f>IFERROR(__xludf.DUMMYFUNCTION("""COMPUTED_VALUE"""),"FL")</f>
        <v>FL</v>
      </c>
      <c r="E103" s="8" t="str">
        <f>IFERROR(__xludf.DUMMYFUNCTION("""COMPUTED_VALUE"""),"USA")</f>
        <v>USA</v>
      </c>
      <c r="F103" s="8" t="str">
        <f>IFERROR(__xludf.DUMMYFUNCTION("""COMPUTED_VALUE"""),"MENS DBLS CRICKET")</f>
        <v>MENS DBLS CRICKET</v>
      </c>
      <c r="G103" s="8" t="str">
        <f>IFERROR(__xludf.DUMMYFUNCTION("""COMPUTED_VALUE"""),"1ST")</f>
        <v>1ST</v>
      </c>
      <c r="H103" s="8" t="str">
        <f>IFERROR(__xludf.DUMMYFUNCTION("""COMPUTED_VALUE"""),"BS 36 REGIONAL PA")</f>
        <v>BS 36 REGIONAL PA</v>
      </c>
      <c r="I103" s="9">
        <f>IFERROR(__xludf.DUMMYFUNCTION("""COMPUTED_VALUE"""),44713.0)</f>
        <v>44713</v>
      </c>
      <c r="J103" s="9">
        <f>IFERROR(__xludf.DUMMYFUNCTION("""COMPUTED_VALUE"""),45809.0)</f>
        <v>45809</v>
      </c>
      <c r="K103" s="10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7" t="str">
        <f>IFERROR(__xludf.DUMMYFUNCTION("""COMPUTED_VALUE"""),"Cohey")</f>
        <v>Cohey</v>
      </c>
      <c r="B104" s="8" t="str">
        <f>IFERROR(__xludf.DUMMYFUNCTION("""COMPUTED_VALUE"""),"Jeff")</f>
        <v>Jeff</v>
      </c>
      <c r="C104" s="8"/>
      <c r="D104" s="8"/>
      <c r="E104" s="8" t="str">
        <f>IFERROR(__xludf.DUMMYFUNCTION("""COMPUTED_VALUE"""),"USA")</f>
        <v>USA</v>
      </c>
      <c r="F104" s="8" t="str">
        <f>IFERROR(__xludf.DUMMYFUNCTION("""COMPUTED_VALUE"""),"TopGun Mixed")</f>
        <v>TopGun Mixed</v>
      </c>
      <c r="G104" s="8" t="str">
        <f>IFERROR(__xludf.DUMMYFUNCTION("""COMPUTED_VALUE"""),"3-4th")</f>
        <v>3-4th</v>
      </c>
      <c r="H104" s="8" t="str">
        <f>IFERROR(__xludf.DUMMYFUNCTION("""COMPUTED_VALUE"""),"BS 38 Finals")</f>
        <v>BS 38 Finals</v>
      </c>
      <c r="I104" s="9">
        <f>IFERROR(__xludf.DUMMYFUNCTION("""COMPUTED_VALUE"""),45444.0)</f>
        <v>45444</v>
      </c>
      <c r="J104" s="9">
        <f>IFERROR(__xludf.DUMMYFUNCTION("""COMPUTED_VALUE"""),46539.0)</f>
        <v>46539</v>
      </c>
      <c r="K104" s="10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7" t="str">
        <f>IFERROR(__xludf.DUMMYFUNCTION("""COMPUTED_VALUE"""),"Cole")</f>
        <v>Cole</v>
      </c>
      <c r="B105" s="8" t="str">
        <f>IFERROR(__xludf.DUMMYFUNCTION("""COMPUTED_VALUE"""),"Patrick")</f>
        <v>Patrick</v>
      </c>
      <c r="C105" s="8" t="str">
        <f>IFERROR(__xludf.DUMMYFUNCTION("""COMPUTED_VALUE"""),"Bradenton")</f>
        <v>Bradenton</v>
      </c>
      <c r="D105" s="8" t="str">
        <f>IFERROR(__xludf.DUMMYFUNCTION("""COMPUTED_VALUE"""),"FL")</f>
        <v>FL</v>
      </c>
      <c r="E105" s="8" t="str">
        <f>IFERROR(__xludf.DUMMYFUNCTION("""COMPUTED_VALUE"""),"USA")</f>
        <v>USA</v>
      </c>
      <c r="F105" s="8" t="str">
        <f>IFERROR(__xludf.DUMMYFUNCTION("""COMPUTED_VALUE"""),"Men 501 Dbls")</f>
        <v>Men 501 Dbls</v>
      </c>
      <c r="G105" s="8" t="str">
        <f>IFERROR(__xludf.DUMMYFUNCTION("""COMPUTED_VALUE"""),"3rd")</f>
        <v>3rd</v>
      </c>
      <c r="H105" s="8" t="str">
        <f>IFERROR(__xludf.DUMMYFUNCTION("""COMPUTED_VALUE"""),"FL BS 38")</f>
        <v>FL BS 38</v>
      </c>
      <c r="I105" s="9">
        <f>IFERROR(__xludf.DUMMYFUNCTION("""COMPUTED_VALUE"""),45444.0)</f>
        <v>45444</v>
      </c>
      <c r="J105" s="9">
        <f>IFERROR(__xludf.DUMMYFUNCTION("""COMPUTED_VALUE"""),46539.0)</f>
        <v>46539</v>
      </c>
      <c r="K105" s="10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7" t="str">
        <f>IFERROR(__xludf.DUMMYFUNCTION("""COMPUTED_VALUE"""),"COLE")</f>
        <v>COLE</v>
      </c>
      <c r="B106" s="8" t="str">
        <f>IFERROR(__xludf.DUMMYFUNCTION("""COMPUTED_VALUE"""),"GARION")</f>
        <v>GARION</v>
      </c>
      <c r="C106" s="8" t="str">
        <f>IFERROR(__xludf.DUMMYFUNCTION("""COMPUTED_VALUE"""),"CHILLICOTHE")</f>
        <v>CHILLICOTHE</v>
      </c>
      <c r="D106" s="8" t="str">
        <f>IFERROR(__xludf.DUMMYFUNCTION("""COMPUTED_VALUE"""),"IL")</f>
        <v>IL</v>
      </c>
      <c r="E106" s="8" t="str">
        <f>IFERROR(__xludf.DUMMYFUNCTION("""COMPUTED_VALUE"""),"USA")</f>
        <v>USA</v>
      </c>
      <c r="F106" s="8" t="str">
        <f>IFERROR(__xludf.DUMMYFUNCTION("""COMPUTED_VALUE"""),"MEN'S SINGLES 501")</f>
        <v>MEN'S SINGLES 501</v>
      </c>
      <c r="G106" s="8" t="str">
        <f>IFERROR(__xludf.DUMMYFUNCTION("""COMPUTED_VALUE"""),"1ST")</f>
        <v>1ST</v>
      </c>
      <c r="H106" s="8" t="str">
        <f>IFERROR(__xludf.DUMMYFUNCTION("""COMPUTED_VALUE"""),"BULLSHOOTER 36 FINALS")</f>
        <v>BULLSHOOTER 36 FINALS</v>
      </c>
      <c r="I106" s="9">
        <f>IFERROR(__xludf.DUMMYFUNCTION("""COMPUTED_VALUE"""),44713.0)</f>
        <v>44713</v>
      </c>
      <c r="J106" s="9">
        <f>IFERROR(__xludf.DUMMYFUNCTION("""COMPUTED_VALUE"""),45809.0)</f>
        <v>45809</v>
      </c>
      <c r="K106" s="10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7" t="str">
        <f>IFERROR(__xludf.DUMMYFUNCTION("""COMPUTED_VALUE"""),"COLE")</f>
        <v>COLE</v>
      </c>
      <c r="B107" s="8" t="str">
        <f>IFERROR(__xludf.DUMMYFUNCTION("""COMPUTED_VALUE"""),"RONNIE")</f>
        <v>RONNIE</v>
      </c>
      <c r="C107" s="8" t="str">
        <f>IFERROR(__xludf.DUMMYFUNCTION("""COMPUTED_VALUE"""),"MYRTLE BEACH")</f>
        <v>MYRTLE BEACH</v>
      </c>
      <c r="D107" s="8" t="str">
        <f>IFERROR(__xludf.DUMMYFUNCTION("""COMPUTED_VALUE"""),"SC")</f>
        <v>SC</v>
      </c>
      <c r="E107" s="8" t="str">
        <f>IFERROR(__xludf.DUMMYFUNCTION("""COMPUTED_VALUE"""),"USA")</f>
        <v>USA</v>
      </c>
      <c r="F107" s="8" t="str">
        <f>IFERROR(__xludf.DUMMYFUNCTION("""COMPUTED_VALUE"""),"MEN'S DBLS 501")</f>
        <v>MEN'S DBLS 501</v>
      </c>
      <c r="G107" s="8" t="str">
        <f>IFERROR(__xludf.DUMMYFUNCTION("""COMPUTED_VALUE"""),"2ND")</f>
        <v>2ND</v>
      </c>
      <c r="H107" s="8" t="str">
        <f>IFERROR(__xludf.DUMMYFUNCTION("""COMPUTED_VALUE"""),"BULLSHOOTER 36 FINALS")</f>
        <v>BULLSHOOTER 36 FINALS</v>
      </c>
      <c r="I107" s="9">
        <f>IFERROR(__xludf.DUMMYFUNCTION("""COMPUTED_VALUE"""),44713.0)</f>
        <v>44713</v>
      </c>
      <c r="J107" s="9">
        <f>IFERROR(__xludf.DUMMYFUNCTION("""COMPUTED_VALUE"""),45809.0)</f>
        <v>45809</v>
      </c>
      <c r="K107" s="10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7" t="str">
        <f>IFERROR(__xludf.DUMMYFUNCTION("""COMPUTED_VALUE"""),"COLEMAN")</f>
        <v>COLEMAN</v>
      </c>
      <c r="B108" s="8" t="str">
        <f>IFERROR(__xludf.DUMMYFUNCTION("""COMPUTED_VALUE"""),"FEDD")</f>
        <v>FEDD</v>
      </c>
      <c r="C108" s="8" t="str">
        <f>IFERROR(__xludf.DUMMYFUNCTION("""COMPUTED_VALUE"""),"FORT MOHAVE")</f>
        <v>FORT MOHAVE</v>
      </c>
      <c r="D108" s="8" t="str">
        <f>IFERROR(__xludf.DUMMYFUNCTION("""COMPUTED_VALUE"""),"AZ")</f>
        <v>AZ</v>
      </c>
      <c r="E108" s="8" t="str">
        <f>IFERROR(__xludf.DUMMYFUNCTION("""COMPUTED_VALUE"""),"USA")</f>
        <v>USA</v>
      </c>
      <c r="F108" s="8" t="str">
        <f>IFERROR(__xludf.DUMMYFUNCTION("""COMPUTED_VALUE"""),"MENS DBLS 501")</f>
        <v>MENS DBLS 501</v>
      </c>
      <c r="G108" s="8" t="str">
        <f>IFERROR(__xludf.DUMMYFUNCTION("""COMPUTED_VALUE"""),"2ND")</f>
        <v>2ND</v>
      </c>
      <c r="H108" s="8" t="str">
        <f>IFERROR(__xludf.DUMMYFUNCTION("""COMPUTED_VALUE"""),"BS 36 REGIONAL AZ")</f>
        <v>BS 36 REGIONAL AZ</v>
      </c>
      <c r="I108" s="9">
        <f>IFERROR(__xludf.DUMMYFUNCTION("""COMPUTED_VALUE"""),44713.0)</f>
        <v>44713</v>
      </c>
      <c r="J108" s="9">
        <f>IFERROR(__xludf.DUMMYFUNCTION("""COMPUTED_VALUE"""),45809.0)</f>
        <v>45809</v>
      </c>
      <c r="K108" s="10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7" t="str">
        <f>IFERROR(__xludf.DUMMYFUNCTION("""COMPUTED_VALUE"""),"Colston")</f>
        <v>Colston</v>
      </c>
      <c r="B109" s="8" t="str">
        <f>IFERROR(__xludf.DUMMYFUNCTION("""COMPUTED_VALUE"""),"Barry")</f>
        <v>Barry</v>
      </c>
      <c r="C109" s="8" t="str">
        <f>IFERROR(__xludf.DUMMYFUNCTION("""COMPUTED_VALUE"""),"Southside")</f>
        <v>Southside</v>
      </c>
      <c r="D109" s="8" t="str">
        <f>IFERROR(__xludf.DUMMYFUNCTION("""COMPUTED_VALUE"""),"AL")</f>
        <v>AL</v>
      </c>
      <c r="E109" s="8" t="str">
        <f>IFERROR(__xludf.DUMMYFUNCTION("""COMPUTED_VALUE"""),"USA")</f>
        <v>USA</v>
      </c>
      <c r="F109" s="8" t="str">
        <f>IFERROR(__xludf.DUMMYFUNCTION("""COMPUTED_VALUE"""),"Men Singles")</f>
        <v>Men Singles</v>
      </c>
      <c r="G109" s="8" t="str">
        <f>IFERROR(__xludf.DUMMYFUNCTION("""COMPUTED_VALUE"""),"2nd")</f>
        <v>2nd</v>
      </c>
      <c r="H109" s="8" t="str">
        <f>IFERROR(__xludf.DUMMYFUNCTION("""COMPUTED_VALUE"""),"TN BS 38")</f>
        <v>TN BS 38</v>
      </c>
      <c r="I109" s="9">
        <f>IFERROR(__xludf.DUMMYFUNCTION("""COMPUTED_VALUE"""),45444.0)</f>
        <v>45444</v>
      </c>
      <c r="J109" s="9">
        <f>IFERROR(__xludf.DUMMYFUNCTION("""COMPUTED_VALUE"""),46539.0)</f>
        <v>46539</v>
      </c>
      <c r="K109" s="10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11" t="str">
        <f>IFERROR(__xludf.DUMMYFUNCTION("""COMPUTED_VALUE"""),"Colston")</f>
        <v>Colston</v>
      </c>
      <c r="B110" s="12" t="str">
        <f>IFERROR(__xludf.DUMMYFUNCTION("""COMPUTED_VALUE"""),"Nathaniel")</f>
        <v>Nathaniel</v>
      </c>
      <c r="C110" s="12" t="str">
        <f>IFERROR(__xludf.DUMMYFUNCTION("""COMPUTED_VALUE"""),"Cedar Bluff")</f>
        <v>Cedar Bluff</v>
      </c>
      <c r="D110" s="12" t="str">
        <f>IFERROR(__xludf.DUMMYFUNCTION("""COMPUTED_VALUE"""),"AL")</f>
        <v>AL</v>
      </c>
      <c r="E110" s="12" t="str">
        <f>IFERROR(__xludf.DUMMYFUNCTION("""COMPUTED_VALUE"""),"USA")</f>
        <v>USA</v>
      </c>
      <c r="F110" s="12" t="str">
        <f>IFERROR(__xludf.DUMMYFUNCTION("""COMPUTED_VALUE"""),"Pro 501 Dbls")</f>
        <v>Pro 501 Dbls</v>
      </c>
      <c r="G110" s="12" t="str">
        <f>IFERROR(__xludf.DUMMYFUNCTION("""COMPUTED_VALUE"""),"3rd")</f>
        <v>3rd</v>
      </c>
      <c r="H110" s="12" t="str">
        <f>IFERROR(__xludf.DUMMYFUNCTION("""COMPUTED_VALUE"""),"SC BS 38")</f>
        <v>SC BS 38</v>
      </c>
      <c r="I110" s="14">
        <f>IFERROR(__xludf.DUMMYFUNCTION("""COMPUTED_VALUE"""),45444.0)</f>
        <v>45444</v>
      </c>
      <c r="J110" s="14">
        <f>IFERROR(__xludf.DUMMYFUNCTION("""COMPUTED_VALUE"""),46539.0)</f>
        <v>46539</v>
      </c>
      <c r="K110" s="10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7" t="str">
        <f>IFERROR(__xludf.DUMMYFUNCTION("""COMPUTED_VALUE"""),"COMPEAN")</f>
        <v>COMPEAN</v>
      </c>
      <c r="B111" s="8" t="str">
        <f>IFERROR(__xludf.DUMMYFUNCTION("""COMPUTED_VALUE"""),"JOSE")</f>
        <v>JOSE</v>
      </c>
      <c r="C111" s="8" t="str">
        <f>IFERROR(__xludf.DUMMYFUNCTION("""COMPUTED_VALUE"""),"RANDOLPH")</f>
        <v>RANDOLPH</v>
      </c>
      <c r="D111" s="8" t="str">
        <f>IFERROR(__xludf.DUMMYFUNCTION("""COMPUTED_VALUE"""),"WI")</f>
        <v>WI</v>
      </c>
      <c r="E111" s="8" t="str">
        <f>IFERROR(__xludf.DUMMYFUNCTION("""COMPUTED_VALUE"""),"USA")</f>
        <v>USA</v>
      </c>
      <c r="F111" s="8" t="str">
        <f>IFERROR(__xludf.DUMMYFUNCTION("""COMPUTED_VALUE"""),"MENS DBLS CRICKET")</f>
        <v>MENS DBLS CRICKET</v>
      </c>
      <c r="G111" s="8" t="str">
        <f>IFERROR(__xludf.DUMMYFUNCTION("""COMPUTED_VALUE"""),"2ND")</f>
        <v>2ND</v>
      </c>
      <c r="H111" s="8" t="str">
        <f>IFERROR(__xludf.DUMMYFUNCTION("""COMPUTED_VALUE"""),"BS 36 REGIONAL IN")</f>
        <v>BS 36 REGIONAL IN</v>
      </c>
      <c r="I111" s="9">
        <f>IFERROR(__xludf.DUMMYFUNCTION("""COMPUTED_VALUE"""),44713.0)</f>
        <v>44713</v>
      </c>
      <c r="J111" s="9">
        <f>IFERROR(__xludf.DUMMYFUNCTION("""COMPUTED_VALUE"""),45809.0)</f>
        <v>45809</v>
      </c>
      <c r="K111" s="10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7" t="str">
        <f>IFERROR(__xludf.DUMMYFUNCTION("""COMPUTED_VALUE"""),"Confer")</f>
        <v>Confer</v>
      </c>
      <c r="B112" s="8" t="str">
        <f>IFERROR(__xludf.DUMMYFUNCTION("""COMPUTED_VALUE"""),"Cody")</f>
        <v>Cody</v>
      </c>
      <c r="C112" s="8" t="str">
        <f>IFERROR(__xludf.DUMMYFUNCTION("""COMPUTED_VALUE"""),"Franklin")</f>
        <v>Franklin</v>
      </c>
      <c r="D112" s="8" t="str">
        <f>IFERROR(__xludf.DUMMYFUNCTION("""COMPUTED_VALUE"""),"PA")</f>
        <v>PA</v>
      </c>
      <c r="E112" s="8" t="str">
        <f>IFERROR(__xludf.DUMMYFUNCTION("""COMPUTED_VALUE"""),"USA")</f>
        <v>USA</v>
      </c>
      <c r="F112" s="8" t="str">
        <f>IFERROR(__xludf.DUMMYFUNCTION("""COMPUTED_VALUE"""),"Men Cricket Dbls")</f>
        <v>Men Cricket Dbls</v>
      </c>
      <c r="G112" s="8" t="str">
        <f>IFERROR(__xludf.DUMMYFUNCTION("""COMPUTED_VALUE"""),"2nd")</f>
        <v>2nd</v>
      </c>
      <c r="H112" s="8" t="str">
        <f>IFERROR(__xludf.DUMMYFUNCTION("""COMPUTED_VALUE"""),"PA BS 38")</f>
        <v>PA BS 38</v>
      </c>
      <c r="I112" s="9">
        <f>IFERROR(__xludf.DUMMYFUNCTION("""COMPUTED_VALUE"""),45444.0)</f>
        <v>45444</v>
      </c>
      <c r="J112" s="9">
        <f>IFERROR(__xludf.DUMMYFUNCTION("""COMPUTED_VALUE"""),46539.0)</f>
        <v>46539</v>
      </c>
      <c r="K112" s="10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7" t="str">
        <f>IFERROR(__xludf.DUMMYFUNCTION("""COMPUTED_VALUE"""),"Connell")</f>
        <v>Connell</v>
      </c>
      <c r="B113" s="8" t="str">
        <f>IFERROR(__xludf.DUMMYFUNCTION("""COMPUTED_VALUE"""),"Jeremy")</f>
        <v>Jeremy</v>
      </c>
      <c r="C113" s="8" t="str">
        <f>IFERROR(__xludf.DUMMYFUNCTION("""COMPUTED_VALUE"""),"Liverpool")</f>
        <v>Liverpool</v>
      </c>
      <c r="D113" s="8" t="str">
        <f>IFERROR(__xludf.DUMMYFUNCTION("""COMPUTED_VALUE"""),"NY")</f>
        <v>NY</v>
      </c>
      <c r="E113" s="8" t="str">
        <f>IFERROR(__xludf.DUMMYFUNCTION("""COMPUTED_VALUE"""),"USA")</f>
        <v>USA</v>
      </c>
      <c r="F113" s="8" t="str">
        <f>IFERROR(__xludf.DUMMYFUNCTION("""COMPUTED_VALUE"""),"Pro 501 Doubles")</f>
        <v>Pro 501 Doubles</v>
      </c>
      <c r="G113" s="8" t="str">
        <f>IFERROR(__xludf.DUMMYFUNCTION("""COMPUTED_VALUE"""),"1st")</f>
        <v>1st</v>
      </c>
      <c r="H113" s="8" t="str">
        <f>IFERROR(__xludf.DUMMYFUNCTION("""COMPUTED_VALUE"""),"BullShooter 34 Finals")</f>
        <v>BullShooter 34 Finals</v>
      </c>
      <c r="I113" s="9">
        <f>IFERROR(__xludf.DUMMYFUNCTION("""COMPUTED_VALUE"""),43617.0)</f>
        <v>43617</v>
      </c>
      <c r="J113" s="9">
        <f>IFERROR(__xludf.DUMMYFUNCTION("""COMPUTED_VALUE"""),45809.0)</f>
        <v>45809</v>
      </c>
      <c r="K113" s="10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7" t="str">
        <f>IFERROR(__xludf.DUMMYFUNCTION("""COMPUTED_VALUE"""),"Connell")</f>
        <v>Connell</v>
      </c>
      <c r="B114" s="8" t="str">
        <f>IFERROR(__xludf.DUMMYFUNCTION("""COMPUTED_VALUE"""),"Joshua")</f>
        <v>Joshua</v>
      </c>
      <c r="C114" s="8" t="str">
        <f>IFERROR(__xludf.DUMMYFUNCTION("""COMPUTED_VALUE"""),"N. Syracuse")</f>
        <v>N. Syracuse</v>
      </c>
      <c r="D114" s="8" t="str">
        <f>IFERROR(__xludf.DUMMYFUNCTION("""COMPUTED_VALUE"""),"NY")</f>
        <v>NY</v>
      </c>
      <c r="E114" s="8" t="str">
        <f>IFERROR(__xludf.DUMMYFUNCTION("""COMPUTED_VALUE"""),"USA")</f>
        <v>USA</v>
      </c>
      <c r="F114" s="8" t="str">
        <f>IFERROR(__xludf.DUMMYFUNCTION("""COMPUTED_VALUE"""),"Pro 501 Doubles")</f>
        <v>Pro 501 Doubles</v>
      </c>
      <c r="G114" s="8" t="str">
        <f>IFERROR(__xludf.DUMMYFUNCTION("""COMPUTED_VALUE"""),"1st")</f>
        <v>1st</v>
      </c>
      <c r="H114" s="8" t="str">
        <f>IFERROR(__xludf.DUMMYFUNCTION("""COMPUTED_VALUE"""),"BullShooter 34 Finals")</f>
        <v>BullShooter 34 Finals</v>
      </c>
      <c r="I114" s="9">
        <f>IFERROR(__xludf.DUMMYFUNCTION("""COMPUTED_VALUE"""),43617.0)</f>
        <v>43617</v>
      </c>
      <c r="J114" s="9">
        <f>IFERROR(__xludf.DUMMYFUNCTION("""COMPUTED_VALUE"""),45809.0)</f>
        <v>45809</v>
      </c>
      <c r="K114" s="10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7" t="str">
        <f>IFERROR(__xludf.DUMMYFUNCTION("""COMPUTED_VALUE"""),"Cooper")</f>
        <v>Cooper</v>
      </c>
      <c r="B115" s="8" t="str">
        <f>IFERROR(__xludf.DUMMYFUNCTION("""COMPUTED_VALUE"""),"Nick")</f>
        <v>Nick</v>
      </c>
      <c r="C115" s="8" t="str">
        <f>IFERROR(__xludf.DUMMYFUNCTION("""COMPUTED_VALUE"""),"Las Vegas")</f>
        <v>Las Vegas</v>
      </c>
      <c r="D115" s="8" t="str">
        <f>IFERROR(__xludf.DUMMYFUNCTION("""COMPUTED_VALUE"""),"NV")</f>
        <v>NV</v>
      </c>
      <c r="E115" s="8" t="str">
        <f>IFERROR(__xludf.DUMMYFUNCTION("""COMPUTED_VALUE"""),"USA")</f>
        <v>USA</v>
      </c>
      <c r="F115" s="8" t="str">
        <f>IFERROR(__xludf.DUMMYFUNCTION("""COMPUTED_VALUE"""),"Men 501 Dbls")</f>
        <v>Men 501 Dbls</v>
      </c>
      <c r="G115" s="8" t="str">
        <f>IFERROR(__xludf.DUMMYFUNCTION("""COMPUTED_VALUE"""),"2nd")</f>
        <v>2nd</v>
      </c>
      <c r="H115" s="8" t="str">
        <f>IFERROR(__xludf.DUMMYFUNCTION("""COMPUTED_VALUE"""),"AZ BS 38")</f>
        <v>AZ BS 38</v>
      </c>
      <c r="I115" s="9">
        <f>IFERROR(__xludf.DUMMYFUNCTION("""COMPUTED_VALUE"""),45444.0)</f>
        <v>45444</v>
      </c>
      <c r="J115" s="9">
        <f>IFERROR(__xludf.DUMMYFUNCTION("""COMPUTED_VALUE"""),46539.0)</f>
        <v>46539</v>
      </c>
      <c r="K115" s="10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11" t="str">
        <f>IFERROR(__xludf.DUMMYFUNCTION("""COMPUTED_VALUE"""),"Cooper")</f>
        <v>Cooper</v>
      </c>
      <c r="B116" s="12" t="str">
        <f>IFERROR(__xludf.DUMMYFUNCTION("""COMPUTED_VALUE"""),"Ryne")</f>
        <v>Ryne</v>
      </c>
      <c r="C116" s="12" t="str">
        <f>IFERROR(__xludf.DUMMYFUNCTION("""COMPUTED_VALUE"""),"Kingman")</f>
        <v>Kingman</v>
      </c>
      <c r="D116" s="12" t="str">
        <f>IFERROR(__xludf.DUMMYFUNCTION("""COMPUTED_VALUE"""),"AZ")</f>
        <v>AZ</v>
      </c>
      <c r="E116" s="12" t="str">
        <f>IFERROR(__xludf.DUMMYFUNCTION("""COMPUTED_VALUE"""),"USA")</f>
        <v>USA</v>
      </c>
      <c r="F116" s="12" t="str">
        <f>IFERROR(__xludf.DUMMYFUNCTION("""COMPUTED_VALUE"""),"Men 501 Dbls")</f>
        <v>Men 501 Dbls</v>
      </c>
      <c r="G116" s="12" t="str">
        <f>IFERROR(__xludf.DUMMYFUNCTION("""COMPUTED_VALUE"""),"2nd")</f>
        <v>2nd</v>
      </c>
      <c r="H116" s="12" t="str">
        <f>IFERROR(__xludf.DUMMYFUNCTION("""COMPUTED_VALUE"""),"AZ BS 38")</f>
        <v>AZ BS 38</v>
      </c>
      <c r="I116" s="13">
        <f>IFERROR(__xludf.DUMMYFUNCTION("""COMPUTED_VALUE"""),45444.0)</f>
        <v>45444</v>
      </c>
      <c r="J116" s="13">
        <f>IFERROR(__xludf.DUMMYFUNCTION("""COMPUTED_VALUE"""),46539.0)</f>
        <v>46539</v>
      </c>
      <c r="K116" s="10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7" t="str">
        <f>IFERROR(__xludf.DUMMYFUNCTION("""COMPUTED_VALUE"""),"CORTEZ")</f>
        <v>CORTEZ</v>
      </c>
      <c r="B117" s="8" t="str">
        <f>IFERROR(__xludf.DUMMYFUNCTION("""COMPUTED_VALUE"""),"DARYL")</f>
        <v>DARYL</v>
      </c>
      <c r="C117" s="8" t="str">
        <f>IFERROR(__xludf.DUMMYFUNCTION("""COMPUTED_VALUE"""),"FLORESVILLE")</f>
        <v>FLORESVILLE</v>
      </c>
      <c r="D117" s="8" t="str">
        <f>IFERROR(__xludf.DUMMYFUNCTION("""COMPUTED_VALUE"""),"TX")</f>
        <v>TX</v>
      </c>
      <c r="E117" s="8" t="str">
        <f>IFERROR(__xludf.DUMMYFUNCTION("""COMPUTED_VALUE"""),"USA")</f>
        <v>USA</v>
      </c>
      <c r="F117" s="8" t="str">
        <f>IFERROR(__xludf.DUMMYFUNCTION("""COMPUTED_VALUE"""),"MENS PRO SINGLES CRICKET")</f>
        <v>MENS PRO SINGLES CRICKET</v>
      </c>
      <c r="G117" s="8" t="str">
        <f>IFERROR(__xludf.DUMMYFUNCTION("""COMPUTED_VALUE"""),"2ND")</f>
        <v>2ND</v>
      </c>
      <c r="H117" s="8" t="str">
        <f>IFERROR(__xludf.DUMMYFUNCTION("""COMPUTED_VALUE"""),"BS 36 REGIONAL TX")</f>
        <v>BS 36 REGIONAL TX</v>
      </c>
      <c r="I117" s="9">
        <f>IFERROR(__xludf.DUMMYFUNCTION("""COMPUTED_VALUE"""),44713.0)</f>
        <v>44713</v>
      </c>
      <c r="J117" s="9">
        <f>IFERROR(__xludf.DUMMYFUNCTION("""COMPUTED_VALUE"""),45809.0)</f>
        <v>45809</v>
      </c>
      <c r="K117" s="10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7" t="str">
        <f>IFERROR(__xludf.DUMMYFUNCTION("""COMPUTED_VALUE"""),"COTE-ROBERGE")</f>
        <v>COTE-ROBERGE</v>
      </c>
      <c r="B118" s="8" t="str">
        <f>IFERROR(__xludf.DUMMYFUNCTION("""COMPUTED_VALUE"""),"JASON")</f>
        <v>JASON</v>
      </c>
      <c r="C118" s="8"/>
      <c r="D118" s="8"/>
      <c r="E118" s="8" t="str">
        <f>IFERROR(__xludf.DUMMYFUNCTION("""COMPUTED_VALUE"""),"CANADA")</f>
        <v>CANADA</v>
      </c>
      <c r="F118" s="8" t="str">
        <f>IFERROR(__xludf.DUMMYFUNCTION("""COMPUTED_VALUE"""),"MEN 501 DBLS")</f>
        <v>MEN 501 DBLS</v>
      </c>
      <c r="G118" s="8" t="str">
        <f>IFERROR(__xludf.DUMMYFUNCTION("""COMPUTED_VALUE"""),"1")</f>
        <v>1</v>
      </c>
      <c r="H118" s="8" t="str">
        <f>IFERROR(__xludf.DUMMYFUNCTION("""COMPUTED_VALUE"""),"BS 37 NY")</f>
        <v>BS 37 NY</v>
      </c>
      <c r="I118" s="9">
        <f>IFERROR(__xludf.DUMMYFUNCTION("""COMPUTED_VALUE"""),45078.0)</f>
        <v>45078</v>
      </c>
      <c r="J118" s="9">
        <f>IFERROR(__xludf.DUMMYFUNCTION("""COMPUTED_VALUE"""),46174.0)</f>
        <v>46174</v>
      </c>
      <c r="K118" s="10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7" t="str">
        <f>IFERROR(__xludf.DUMMYFUNCTION("""COMPUTED_VALUE"""),"Cottrell")</f>
        <v>Cottrell</v>
      </c>
      <c r="B119" s="8" t="str">
        <f>IFERROR(__xludf.DUMMYFUNCTION("""COMPUTED_VALUE"""),"Bruce")</f>
        <v>Bruce</v>
      </c>
      <c r="C119" s="8" t="str">
        <f>IFERROR(__xludf.DUMMYFUNCTION("""COMPUTED_VALUE"""),"Pittsburgh")</f>
        <v>Pittsburgh</v>
      </c>
      <c r="D119" s="8" t="str">
        <f>IFERROR(__xludf.DUMMYFUNCTION("""COMPUTED_VALUE"""),"PA")</f>
        <v>PA</v>
      </c>
      <c r="E119" s="8"/>
      <c r="F119" s="8" t="str">
        <f>IFERROR(__xludf.DUMMYFUNCTION("""COMPUTED_VALUE"""),"Men 501 Dbls")</f>
        <v>Men 501 Dbls</v>
      </c>
      <c r="G119" s="8" t="str">
        <f>IFERROR(__xludf.DUMMYFUNCTION("""COMPUTED_VALUE"""),"2nd")</f>
        <v>2nd</v>
      </c>
      <c r="H119" s="8" t="str">
        <f>IFERROR(__xludf.DUMMYFUNCTION("""COMPUTED_VALUE"""),"PA BS 38")</f>
        <v>PA BS 38</v>
      </c>
      <c r="I119" s="9">
        <f>IFERROR(__xludf.DUMMYFUNCTION("""COMPUTED_VALUE"""),45444.0)</f>
        <v>45444</v>
      </c>
      <c r="J119" s="9">
        <f>IFERROR(__xludf.DUMMYFUNCTION("""COMPUTED_VALUE"""),46539.0)</f>
        <v>46539</v>
      </c>
      <c r="K119" s="10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7" t="str">
        <f>IFERROR(__xludf.DUMMYFUNCTION("""COMPUTED_VALUE"""),"Crescini")</f>
        <v>Crescini</v>
      </c>
      <c r="B120" s="8" t="str">
        <f>IFERROR(__xludf.DUMMYFUNCTION("""COMPUTED_VALUE"""),"Josh")</f>
        <v>Josh</v>
      </c>
      <c r="C120" s="8"/>
      <c r="D120" s="8"/>
      <c r="E120" s="8"/>
      <c r="F120" s="8" t="str">
        <f>IFERROR(__xludf.DUMMYFUNCTION("""COMPUTED_VALUE"""),"Men Cricket Dbls")</f>
        <v>Men Cricket Dbls</v>
      </c>
      <c r="G120" s="8" t="str">
        <f>IFERROR(__xludf.DUMMYFUNCTION("""COMPUTED_VALUE"""),"2nd")</f>
        <v>2nd</v>
      </c>
      <c r="H120" s="8" t="str">
        <f>IFERROR(__xludf.DUMMYFUNCTION("""COMPUTED_VALUE"""),"BS 38 Finals")</f>
        <v>BS 38 Finals</v>
      </c>
      <c r="I120" s="9">
        <f>IFERROR(__xludf.DUMMYFUNCTION("""COMPUTED_VALUE"""),45444.0)</f>
        <v>45444</v>
      </c>
      <c r="J120" s="9">
        <f>IFERROR(__xludf.DUMMYFUNCTION("""COMPUTED_VALUE"""),46539.0)</f>
        <v>46539</v>
      </c>
      <c r="K120" s="10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7" t="str">
        <f>IFERROR(__xludf.DUMMYFUNCTION("""COMPUTED_VALUE"""),"Cross")</f>
        <v>Cross</v>
      </c>
      <c r="B121" s="8" t="str">
        <f>IFERROR(__xludf.DUMMYFUNCTION("""COMPUTED_VALUE"""),"Jordan")</f>
        <v>Jordan</v>
      </c>
      <c r="C121" s="8" t="str">
        <f>IFERROR(__xludf.DUMMYFUNCTION("""COMPUTED_VALUE"""),"Fairfield")</f>
        <v>Fairfield</v>
      </c>
      <c r="D121" s="8" t="str">
        <f>IFERROR(__xludf.DUMMYFUNCTION("""COMPUTED_VALUE"""),"OH")</f>
        <v>OH</v>
      </c>
      <c r="E121" s="8"/>
      <c r="F121" s="8" t="str">
        <f>IFERROR(__xludf.DUMMYFUNCTION("""COMPUTED_VALUE"""),"Men Singles")</f>
        <v>Men Singles</v>
      </c>
      <c r="G121" s="8" t="str">
        <f>IFERROR(__xludf.DUMMYFUNCTION("""COMPUTED_VALUE"""),"1st")</f>
        <v>1st</v>
      </c>
      <c r="H121" s="8" t="str">
        <f>IFERROR(__xludf.DUMMYFUNCTION("""COMPUTED_VALUE"""),"OH BS 38")</f>
        <v>OH BS 38</v>
      </c>
      <c r="I121" s="9">
        <f>IFERROR(__xludf.DUMMYFUNCTION("""COMPUTED_VALUE"""),45444.0)</f>
        <v>45444</v>
      </c>
      <c r="J121" s="9">
        <f>IFERROR(__xludf.DUMMYFUNCTION("""COMPUTED_VALUE"""),46539.0)</f>
        <v>46539</v>
      </c>
      <c r="K121" s="10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7" t="str">
        <f>IFERROR(__xludf.DUMMYFUNCTION("""COMPUTED_VALUE"""),"CRYSTAL")</f>
        <v>CRYSTAL</v>
      </c>
      <c r="B122" s="8" t="str">
        <f>IFERROR(__xludf.DUMMYFUNCTION("""COMPUTED_VALUE"""),"MARK")</f>
        <v>MARK</v>
      </c>
      <c r="C122" s="8" t="str">
        <f>IFERROR(__xludf.DUMMYFUNCTION("""COMPUTED_VALUE"""),"LAFEYETTE")</f>
        <v>LAFEYETTE</v>
      </c>
      <c r="D122" s="8" t="str">
        <f>IFERROR(__xludf.DUMMYFUNCTION("""COMPUTED_VALUE"""),"IN")</f>
        <v>IN</v>
      </c>
      <c r="E122" s="8" t="str">
        <f>IFERROR(__xludf.DUMMYFUNCTION("""COMPUTED_VALUE"""),"USA")</f>
        <v>USA</v>
      </c>
      <c r="F122" s="8" t="str">
        <f>IFERROR(__xludf.DUMMYFUNCTION("""COMPUTED_VALUE"""),"MENS DBLS CRICKET")</f>
        <v>MENS DBLS CRICKET</v>
      </c>
      <c r="G122" s="8" t="str">
        <f>IFERROR(__xludf.DUMMYFUNCTION("""COMPUTED_VALUE"""),"3RD")</f>
        <v>3RD</v>
      </c>
      <c r="H122" s="8" t="str">
        <f>IFERROR(__xludf.DUMMYFUNCTION("""COMPUTED_VALUE"""),"BS 36 REGIONAL IN")</f>
        <v>BS 36 REGIONAL IN</v>
      </c>
      <c r="I122" s="9">
        <f>IFERROR(__xludf.DUMMYFUNCTION("""COMPUTED_VALUE"""),44713.0)</f>
        <v>44713</v>
      </c>
      <c r="J122" s="9">
        <f>IFERROR(__xludf.DUMMYFUNCTION("""COMPUTED_VALUE"""),45809.0)</f>
        <v>45809</v>
      </c>
      <c r="K122" s="10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7" t="str">
        <f>IFERROR(__xludf.DUMMYFUNCTION("""COMPUTED_VALUE"""),"Curren")</f>
        <v>Curren</v>
      </c>
      <c r="B123" s="8" t="str">
        <f>IFERROR(__xludf.DUMMYFUNCTION("""COMPUTED_VALUE"""),"Charles")</f>
        <v>Charles</v>
      </c>
      <c r="C123" s="8" t="str">
        <f>IFERROR(__xludf.DUMMYFUNCTION("""COMPUTED_VALUE"""),"Ft Collins")</f>
        <v>Ft Collins</v>
      </c>
      <c r="D123" s="8" t="str">
        <f>IFERROR(__xludf.DUMMYFUNCTION("""COMPUTED_VALUE"""),"CO")</f>
        <v>CO</v>
      </c>
      <c r="E123" s="8"/>
      <c r="F123" s="8" t="str">
        <f>IFERROR(__xludf.DUMMYFUNCTION("""COMPUTED_VALUE"""),"Men Singles")</f>
        <v>Men Singles</v>
      </c>
      <c r="G123" s="8" t="str">
        <f>IFERROR(__xludf.DUMMYFUNCTION("""COMPUTED_VALUE"""),"1st")</f>
        <v>1st</v>
      </c>
      <c r="H123" s="8" t="str">
        <f>IFERROR(__xludf.DUMMYFUNCTION("""COMPUTED_VALUE"""),"NE BS 38")</f>
        <v>NE BS 38</v>
      </c>
      <c r="I123" s="9">
        <f>IFERROR(__xludf.DUMMYFUNCTION("""COMPUTED_VALUE"""),45444.0)</f>
        <v>45444</v>
      </c>
      <c r="J123" s="9">
        <f>IFERROR(__xludf.DUMMYFUNCTION("""COMPUTED_VALUE"""),46539.0)</f>
        <v>46539</v>
      </c>
      <c r="K123" s="10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7" t="str">
        <f>IFERROR(__xludf.DUMMYFUNCTION("""COMPUTED_VALUE"""),"CURRY")</f>
        <v>CURRY</v>
      </c>
      <c r="B124" s="8" t="str">
        <f>IFERROR(__xludf.DUMMYFUNCTION("""COMPUTED_VALUE"""),"LEONARD")</f>
        <v>LEONARD</v>
      </c>
      <c r="C124" s="8" t="str">
        <f>IFERROR(__xludf.DUMMYFUNCTION("""COMPUTED_VALUE"""),"CHRISTOPHER")</f>
        <v>CHRISTOPHER</v>
      </c>
      <c r="D124" s="8" t="str">
        <f>IFERROR(__xludf.DUMMYFUNCTION("""COMPUTED_VALUE"""),"IL")</f>
        <v>IL</v>
      </c>
      <c r="E124" s="8" t="str">
        <f>IFERROR(__xludf.DUMMYFUNCTION("""COMPUTED_VALUE"""),"USA")</f>
        <v>USA</v>
      </c>
      <c r="F124" s="8" t="str">
        <f>IFERROR(__xludf.DUMMYFUNCTION("""COMPUTED_VALUE"""),"MENS DBLS 501")</f>
        <v>MENS DBLS 501</v>
      </c>
      <c r="G124" s="8" t="str">
        <f>IFERROR(__xludf.DUMMYFUNCTION("""COMPUTED_VALUE"""),"3RD")</f>
        <v>3RD</v>
      </c>
      <c r="H124" s="8" t="str">
        <f>IFERROR(__xludf.DUMMYFUNCTION("""COMPUTED_VALUE"""),"BS 36 REGIONAL IN")</f>
        <v>BS 36 REGIONAL IN</v>
      </c>
      <c r="I124" s="9">
        <f>IFERROR(__xludf.DUMMYFUNCTION("""COMPUTED_VALUE"""),44713.0)</f>
        <v>44713</v>
      </c>
      <c r="J124" s="9">
        <f>IFERROR(__xludf.DUMMYFUNCTION("""COMPUTED_VALUE"""),45809.0)</f>
        <v>45809</v>
      </c>
      <c r="K124" s="10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7" t="str">
        <f>IFERROR(__xludf.DUMMYFUNCTION("""COMPUTED_VALUE"""),"Dalton")</f>
        <v>Dalton</v>
      </c>
      <c r="B125" s="8" t="str">
        <f>IFERROR(__xludf.DUMMYFUNCTION("""COMPUTED_VALUE"""),"Terry")</f>
        <v>Terry</v>
      </c>
      <c r="C125" s="8" t="str">
        <f>IFERROR(__xludf.DUMMYFUNCTION("""COMPUTED_VALUE"""),"St Louis")</f>
        <v>St Louis</v>
      </c>
      <c r="D125" s="8" t="str">
        <f>IFERROR(__xludf.DUMMYFUNCTION("""COMPUTED_VALUE"""),"MO")</f>
        <v>MO</v>
      </c>
      <c r="E125" s="8"/>
      <c r="F125" s="8" t="str">
        <f>IFERROR(__xludf.DUMMYFUNCTION("""COMPUTED_VALUE"""),"Men Cricket Dbls")</f>
        <v>Men Cricket Dbls</v>
      </c>
      <c r="G125" s="8" t="str">
        <f>IFERROR(__xludf.DUMMYFUNCTION("""COMPUTED_VALUE"""),"2nd")</f>
        <v>2nd</v>
      </c>
      <c r="H125" s="8" t="str">
        <f>IFERROR(__xludf.DUMMYFUNCTION("""COMPUTED_VALUE"""),"NE BS 38")</f>
        <v>NE BS 38</v>
      </c>
      <c r="I125" s="9">
        <f>IFERROR(__xludf.DUMMYFUNCTION("""COMPUTED_VALUE"""),45444.0)</f>
        <v>45444</v>
      </c>
      <c r="J125" s="9">
        <f>IFERROR(__xludf.DUMMYFUNCTION("""COMPUTED_VALUE"""),46539.0)</f>
        <v>46539</v>
      </c>
      <c r="K125" s="10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7" t="str">
        <f>IFERROR(__xludf.DUMMYFUNCTION("""COMPUTED_VALUE"""),"Damore")</f>
        <v>Damore</v>
      </c>
      <c r="B126" s="8" t="str">
        <f>IFERROR(__xludf.DUMMYFUNCTION("""COMPUTED_VALUE"""),"Jim")</f>
        <v>Jim</v>
      </c>
      <c r="C126" s="8" t="str">
        <f>IFERROR(__xludf.DUMMYFUNCTION("""COMPUTED_VALUE"""),"Palatine")</f>
        <v>Palatine</v>
      </c>
      <c r="D126" s="8" t="str">
        <f>IFERROR(__xludf.DUMMYFUNCTION("""COMPUTED_VALUE"""),"IL")</f>
        <v>IL</v>
      </c>
      <c r="E126" s="8" t="str">
        <f>IFERROR(__xludf.DUMMYFUNCTION("""COMPUTED_VALUE"""),"USA")</f>
        <v>USA</v>
      </c>
      <c r="F126" s="8" t="str">
        <f>IFERROR(__xludf.DUMMYFUNCTION("""COMPUTED_VALUE"""),"Pro Doubles")</f>
        <v>Pro Doubles</v>
      </c>
      <c r="G126" s="8" t="str">
        <f>IFERROR(__xludf.DUMMYFUNCTION("""COMPUTED_VALUE"""),"1st")</f>
        <v>1st</v>
      </c>
      <c r="H126" s="8" t="str">
        <f>IFERROR(__xludf.DUMMYFUNCTION("""COMPUTED_VALUE"""),"Known Ability")</f>
        <v>Known Ability</v>
      </c>
      <c r="I126" s="9">
        <f>IFERROR(__xludf.DUMMYFUNCTION("""COMPUTED_VALUE"""),42522.0)</f>
        <v>42522</v>
      </c>
      <c r="J126" s="9">
        <f>IFERROR(__xludf.DUMMYFUNCTION("""COMPUTED_VALUE"""),47635.0)</f>
        <v>47635</v>
      </c>
      <c r="K126" s="10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7" t="str">
        <f>IFERROR(__xludf.DUMMYFUNCTION("""COMPUTED_VALUE"""),"Davey")</f>
        <v>Davey</v>
      </c>
      <c r="B127" s="8" t="str">
        <f>IFERROR(__xludf.DUMMYFUNCTION("""COMPUTED_VALUE"""),"Joseph")</f>
        <v>Joseph</v>
      </c>
      <c r="C127" s="8" t="str">
        <f>IFERROR(__xludf.DUMMYFUNCTION("""COMPUTED_VALUE"""),"Jacksonville")</f>
        <v>Jacksonville</v>
      </c>
      <c r="D127" s="8" t="str">
        <f>IFERROR(__xludf.DUMMYFUNCTION("""COMPUTED_VALUE"""),"FL")</f>
        <v>FL</v>
      </c>
      <c r="E127" s="8"/>
      <c r="F127" s="8" t="str">
        <f>IFERROR(__xludf.DUMMYFUNCTION("""COMPUTED_VALUE"""),"Men Cricket Dbls")</f>
        <v>Men Cricket Dbls</v>
      </c>
      <c r="G127" s="8" t="str">
        <f>IFERROR(__xludf.DUMMYFUNCTION("""COMPUTED_VALUE"""),"1st")</f>
        <v>1st</v>
      </c>
      <c r="H127" s="8" t="str">
        <f>IFERROR(__xludf.DUMMYFUNCTION("""COMPUTED_VALUE"""),"FL BS 38")</f>
        <v>FL BS 38</v>
      </c>
      <c r="I127" s="9">
        <f>IFERROR(__xludf.DUMMYFUNCTION("""COMPUTED_VALUE"""),45444.0)</f>
        <v>45444</v>
      </c>
      <c r="J127" s="9">
        <f>IFERROR(__xludf.DUMMYFUNCTION("""COMPUTED_VALUE"""),46539.0)</f>
        <v>46539</v>
      </c>
      <c r="K127" s="10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7" t="str">
        <f>IFERROR(__xludf.DUMMYFUNCTION("""COMPUTED_VALUE"""),"DAVIDSON")</f>
        <v>DAVIDSON</v>
      </c>
      <c r="B128" s="8" t="str">
        <f>IFERROR(__xludf.DUMMYFUNCTION("""COMPUTED_VALUE"""),"JACOB")</f>
        <v>JACOB</v>
      </c>
      <c r="C128" s="8" t="str">
        <f>IFERROR(__xludf.DUMMYFUNCTION("""COMPUTED_VALUE"""),"INDY")</f>
        <v>INDY</v>
      </c>
      <c r="D128" s="8" t="str">
        <f>IFERROR(__xludf.DUMMYFUNCTION("""COMPUTED_VALUE"""),"IN")</f>
        <v>IN</v>
      </c>
      <c r="E128" s="8" t="str">
        <f>IFERROR(__xludf.DUMMYFUNCTION("""COMPUTED_VALUE"""),"USA")</f>
        <v>USA</v>
      </c>
      <c r="F128" s="8" t="str">
        <f>IFERROR(__xludf.DUMMYFUNCTION("""COMPUTED_VALUE"""),"MIXED 701 TRIPLES")</f>
        <v>MIXED 701 TRIPLES</v>
      </c>
      <c r="G128" s="8" t="str">
        <f>IFERROR(__xludf.DUMMYFUNCTION("""COMPUTED_VALUE"""),"1")</f>
        <v>1</v>
      </c>
      <c r="H128" s="8" t="str">
        <f>IFERROR(__xludf.DUMMYFUNCTION("""COMPUTED_VALUE"""),"BS 37 IN")</f>
        <v>BS 37 IN</v>
      </c>
      <c r="I128" s="9">
        <f>IFERROR(__xludf.DUMMYFUNCTION("""COMPUTED_VALUE"""),45078.0)</f>
        <v>45078</v>
      </c>
      <c r="J128" s="9">
        <f>IFERROR(__xludf.DUMMYFUNCTION("""COMPUTED_VALUE"""),46174.0)</f>
        <v>46174</v>
      </c>
      <c r="K128" s="10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7" t="str">
        <f>IFERROR(__xludf.DUMMYFUNCTION("""COMPUTED_VALUE"""),"Davis")</f>
        <v>Davis</v>
      </c>
      <c r="B129" s="8" t="str">
        <f>IFERROR(__xludf.DUMMYFUNCTION("""COMPUTED_VALUE"""),"Tate")</f>
        <v>Tate</v>
      </c>
      <c r="C129" s="8" t="str">
        <f>IFERROR(__xludf.DUMMYFUNCTION("""COMPUTED_VALUE"""),"Millington")</f>
        <v>Millington</v>
      </c>
      <c r="D129" s="8" t="str">
        <f>IFERROR(__xludf.DUMMYFUNCTION("""COMPUTED_VALUE"""),"TN")</f>
        <v>TN</v>
      </c>
      <c r="E129" s="8"/>
      <c r="F129" s="8" t="str">
        <f>IFERROR(__xludf.DUMMYFUNCTION("""COMPUTED_VALUE"""),"Men 501 Dbls")</f>
        <v>Men 501 Dbls</v>
      </c>
      <c r="G129" s="8" t="str">
        <f>IFERROR(__xludf.DUMMYFUNCTION("""COMPUTED_VALUE"""),"3rd")</f>
        <v>3rd</v>
      </c>
      <c r="H129" s="8" t="str">
        <f>IFERROR(__xludf.DUMMYFUNCTION("""COMPUTED_VALUE"""),"TN BS 38")</f>
        <v>TN BS 38</v>
      </c>
      <c r="I129" s="9">
        <f>IFERROR(__xludf.DUMMYFUNCTION("""COMPUTED_VALUE"""),45444.0)</f>
        <v>45444</v>
      </c>
      <c r="J129" s="9">
        <f>IFERROR(__xludf.DUMMYFUNCTION("""COMPUTED_VALUE"""),46539.0)</f>
        <v>46539</v>
      </c>
      <c r="K129" s="10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7" t="str">
        <f>IFERROR(__xludf.DUMMYFUNCTION("""COMPUTED_VALUE"""),"Davis")</f>
        <v>Davis</v>
      </c>
      <c r="B130" s="8" t="str">
        <f>IFERROR(__xludf.DUMMYFUNCTION("""COMPUTED_VALUE"""),"Donnie")</f>
        <v>Donnie</v>
      </c>
      <c r="C130" s="8" t="str">
        <f>IFERROR(__xludf.DUMMYFUNCTION("""COMPUTED_VALUE"""),"Millington")</f>
        <v>Millington</v>
      </c>
      <c r="D130" s="8" t="str">
        <f>IFERROR(__xludf.DUMMYFUNCTION("""COMPUTED_VALUE"""),"TN")</f>
        <v>TN</v>
      </c>
      <c r="E130" s="8"/>
      <c r="F130" s="8" t="str">
        <f>IFERROR(__xludf.DUMMYFUNCTION("""COMPUTED_VALUE"""),"Men 501 Dbls")</f>
        <v>Men 501 Dbls</v>
      </c>
      <c r="G130" s="8" t="str">
        <f>IFERROR(__xludf.DUMMYFUNCTION("""COMPUTED_VALUE"""),"3rd")</f>
        <v>3rd</v>
      </c>
      <c r="H130" s="8" t="str">
        <f>IFERROR(__xludf.DUMMYFUNCTION("""COMPUTED_VALUE"""),"TN BS 38")</f>
        <v>TN BS 38</v>
      </c>
      <c r="I130" s="9">
        <f>IFERROR(__xludf.DUMMYFUNCTION("""COMPUTED_VALUE"""),45444.0)</f>
        <v>45444</v>
      </c>
      <c r="J130" s="9">
        <f>IFERROR(__xludf.DUMMYFUNCTION("""COMPUTED_VALUE"""),46539.0)</f>
        <v>46539</v>
      </c>
      <c r="K130" s="10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7" t="str">
        <f>IFERROR(__xludf.DUMMYFUNCTION("""COMPUTED_VALUE"""),"Davis")</f>
        <v>Davis</v>
      </c>
      <c r="B131" s="8" t="str">
        <f>IFERROR(__xludf.DUMMYFUNCTION("""COMPUTED_VALUE"""),"JT")</f>
        <v>JT</v>
      </c>
      <c r="C131" s="8" t="str">
        <f>IFERROR(__xludf.DUMMYFUNCTION("""COMPUTED_VALUE"""),"Springfield")</f>
        <v>Springfield</v>
      </c>
      <c r="D131" s="8" t="str">
        <f>IFERROR(__xludf.DUMMYFUNCTION("""COMPUTED_VALUE"""),"OH")</f>
        <v>OH</v>
      </c>
      <c r="E131" s="8"/>
      <c r="F131" s="8" t="str">
        <f>IFERROR(__xludf.DUMMYFUNCTION("""COMPUTED_VALUE"""),"Mix Cricket Dbls")</f>
        <v>Mix Cricket Dbls</v>
      </c>
      <c r="G131" s="8" t="str">
        <f>IFERROR(__xludf.DUMMYFUNCTION("""COMPUTED_VALUE"""),"1st")</f>
        <v>1st</v>
      </c>
      <c r="H131" s="8" t="str">
        <f>IFERROR(__xludf.DUMMYFUNCTION("""COMPUTED_VALUE"""),"OH BS 38")</f>
        <v>OH BS 38</v>
      </c>
      <c r="I131" s="9">
        <f>IFERROR(__xludf.DUMMYFUNCTION("""COMPUTED_VALUE"""),45444.0)</f>
        <v>45444</v>
      </c>
      <c r="J131" s="9">
        <f>IFERROR(__xludf.DUMMYFUNCTION("""COMPUTED_VALUE"""),46539.0)</f>
        <v>46539</v>
      </c>
      <c r="K131" s="10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7" t="str">
        <f>IFERROR(__xludf.DUMMYFUNCTION("""COMPUTED_VALUE"""),"Davis")</f>
        <v>Davis</v>
      </c>
      <c r="B132" s="8" t="str">
        <f>IFERROR(__xludf.DUMMYFUNCTION("""COMPUTED_VALUE"""),"AJ")</f>
        <v>AJ</v>
      </c>
      <c r="C132" s="8" t="str">
        <f>IFERROR(__xludf.DUMMYFUNCTION("""COMPUTED_VALUE"""),"Punta Gorda")</f>
        <v>Punta Gorda</v>
      </c>
      <c r="D132" s="8" t="str">
        <f>IFERROR(__xludf.DUMMYFUNCTION("""COMPUTED_VALUE"""),"FL")</f>
        <v>FL</v>
      </c>
      <c r="E132" s="8"/>
      <c r="F132" s="8" t="str">
        <f>IFERROR(__xludf.DUMMYFUNCTION("""COMPUTED_VALUE"""),"Men 501 Dbls")</f>
        <v>Men 501 Dbls</v>
      </c>
      <c r="G132" s="8" t="str">
        <f>IFERROR(__xludf.DUMMYFUNCTION("""COMPUTED_VALUE"""),"2nd")</f>
        <v>2nd</v>
      </c>
      <c r="H132" s="8" t="str">
        <f>IFERROR(__xludf.DUMMYFUNCTION("""COMPUTED_VALUE"""),"FL BS 38")</f>
        <v>FL BS 38</v>
      </c>
      <c r="I132" s="9">
        <f>IFERROR(__xludf.DUMMYFUNCTION("""COMPUTED_VALUE"""),45444.0)</f>
        <v>45444</v>
      </c>
      <c r="J132" s="9">
        <f>IFERROR(__xludf.DUMMYFUNCTION("""COMPUTED_VALUE"""),46539.0)</f>
        <v>46539</v>
      </c>
      <c r="K132" s="10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7" t="str">
        <f>IFERROR(__xludf.DUMMYFUNCTION("""COMPUTED_VALUE"""),"Dees Jr.")</f>
        <v>Dees Jr.</v>
      </c>
      <c r="B133" s="8" t="str">
        <f>IFERROR(__xludf.DUMMYFUNCTION("""COMPUTED_VALUE"""),"Bobby")</f>
        <v>Bobby</v>
      </c>
      <c r="C133" s="8" t="str">
        <f>IFERROR(__xludf.DUMMYFUNCTION("""COMPUTED_VALUE"""),"Millstadt")</f>
        <v>Millstadt</v>
      </c>
      <c r="D133" s="8" t="str">
        <f>IFERROR(__xludf.DUMMYFUNCTION("""COMPUTED_VALUE"""),"IL")</f>
        <v>IL</v>
      </c>
      <c r="E133" s="8"/>
      <c r="F133" s="8" t="str">
        <f>IFERROR(__xludf.DUMMYFUNCTION("""COMPUTED_VALUE"""),"MEN SNG CRICKET")</f>
        <v>MEN SNG CRICKET</v>
      </c>
      <c r="G133" s="8" t="str">
        <f>IFERROR(__xludf.DUMMYFUNCTION("""COMPUTED_VALUE"""),"2nd")</f>
        <v>2nd</v>
      </c>
      <c r="H133" s="8" t="str">
        <f>IFERROR(__xludf.DUMMYFUNCTION("""COMPUTED_VALUE"""),"NE BS 38")</f>
        <v>NE BS 38</v>
      </c>
      <c r="I133" s="9">
        <f>IFERROR(__xludf.DUMMYFUNCTION("""COMPUTED_VALUE"""),45444.0)</f>
        <v>45444</v>
      </c>
      <c r="J133" s="9">
        <f>IFERROR(__xludf.DUMMYFUNCTION("""COMPUTED_VALUE"""),46539.0)</f>
        <v>46539</v>
      </c>
      <c r="K133" s="10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7" t="str">
        <f>IFERROR(__xludf.DUMMYFUNCTION("""COMPUTED_VALUE"""),"DELFINO")</f>
        <v>DELFINO</v>
      </c>
      <c r="B134" s="8" t="str">
        <f>IFERROR(__xludf.DUMMYFUNCTION("""COMPUTED_VALUE"""),"DANIEL")</f>
        <v>DANIEL</v>
      </c>
      <c r="C134" s="8" t="str">
        <f>IFERROR(__xludf.DUMMYFUNCTION("""COMPUTED_VALUE"""),"CONWAY")</f>
        <v>CONWAY</v>
      </c>
      <c r="D134" s="8" t="str">
        <f>IFERROR(__xludf.DUMMYFUNCTION("""COMPUTED_VALUE"""),"SC")</f>
        <v>SC</v>
      </c>
      <c r="E134" s="8" t="str">
        <f>IFERROR(__xludf.DUMMYFUNCTION("""COMPUTED_VALUE"""),"USA")</f>
        <v>USA</v>
      </c>
      <c r="F134" s="8" t="str">
        <f>IFERROR(__xludf.DUMMYFUNCTION("""COMPUTED_VALUE"""),"PRO SINGLES")</f>
        <v>PRO SINGLES</v>
      </c>
      <c r="G134" s="8" t="str">
        <f>IFERROR(__xludf.DUMMYFUNCTION("""COMPUTED_VALUE"""),"3")</f>
        <v>3</v>
      </c>
      <c r="H134" s="8" t="str">
        <f>IFERROR(__xludf.DUMMYFUNCTION("""COMPUTED_VALUE"""),"BS 37 SC")</f>
        <v>BS 37 SC</v>
      </c>
      <c r="I134" s="9">
        <f>IFERROR(__xludf.DUMMYFUNCTION("""COMPUTED_VALUE"""),45078.0)</f>
        <v>45078</v>
      </c>
      <c r="J134" s="9">
        <f>IFERROR(__xludf.DUMMYFUNCTION("""COMPUTED_VALUE"""),46174.0)</f>
        <v>46174</v>
      </c>
      <c r="K134" s="10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7" t="str">
        <f>IFERROR(__xludf.DUMMYFUNCTION("""COMPUTED_VALUE"""),"Dement")</f>
        <v>Dement</v>
      </c>
      <c r="B135" s="8" t="str">
        <f>IFERROR(__xludf.DUMMYFUNCTION("""COMPUTED_VALUE"""),"Rich")</f>
        <v>Rich</v>
      </c>
      <c r="C135" s="8" t="str">
        <f>IFERROR(__xludf.DUMMYFUNCTION("""COMPUTED_VALUE"""),"Janesville")</f>
        <v>Janesville</v>
      </c>
      <c r="D135" s="8" t="str">
        <f>IFERROR(__xludf.DUMMYFUNCTION("""COMPUTED_VALUE"""),"WI")</f>
        <v>WI</v>
      </c>
      <c r="E135" s="8" t="str">
        <f>IFERROR(__xludf.DUMMYFUNCTION("""COMPUTED_VALUE"""),"USA")</f>
        <v>USA</v>
      </c>
      <c r="F135" s="8" t="str">
        <f>IFERROR(__xludf.DUMMYFUNCTION("""COMPUTED_VALUE"""),"Pro Mens Doubles")</f>
        <v>Pro Mens Doubles</v>
      </c>
      <c r="G135" s="8"/>
      <c r="H135" s="8" t="str">
        <f>IFERROR(__xludf.DUMMYFUNCTION("""COMPUTED_VALUE"""),"Known Ability")</f>
        <v>Known Ability</v>
      </c>
      <c r="I135" s="9">
        <f>IFERROR(__xludf.DUMMYFUNCTION("""COMPUTED_VALUE"""),36892.0)</f>
        <v>36892</v>
      </c>
      <c r="J135" s="9">
        <f>IFERROR(__xludf.DUMMYFUNCTION("""COMPUTED_VALUE"""),47635.0)</f>
        <v>47635</v>
      </c>
      <c r="K135" s="10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7" t="str">
        <f>IFERROR(__xludf.DUMMYFUNCTION("""COMPUTED_VALUE"""),"Dennis")</f>
        <v>Dennis</v>
      </c>
      <c r="B136" s="8" t="str">
        <f>IFERROR(__xludf.DUMMYFUNCTION("""COMPUTED_VALUE"""),"Brian")</f>
        <v>Brian</v>
      </c>
      <c r="C136" s="8" t="str">
        <f>IFERROR(__xludf.DUMMYFUNCTION("""COMPUTED_VALUE"""),"St Cloud")</f>
        <v>St Cloud</v>
      </c>
      <c r="D136" s="8" t="str">
        <f>IFERROR(__xludf.DUMMYFUNCTION("""COMPUTED_VALUE"""),"FL")</f>
        <v>FL</v>
      </c>
      <c r="E136" s="8"/>
      <c r="F136" s="8" t="str">
        <f>IFERROR(__xludf.DUMMYFUNCTION("""COMPUTED_VALUE"""),"Pro/Am")</f>
        <v>Pro/Am</v>
      </c>
      <c r="G136" s="8" t="str">
        <f>IFERROR(__xludf.DUMMYFUNCTION("""COMPUTED_VALUE"""),"2nd")</f>
        <v>2nd</v>
      </c>
      <c r="H136" s="8" t="str">
        <f>IFERROR(__xludf.DUMMYFUNCTION("""COMPUTED_VALUE"""),"FL BS 38")</f>
        <v>FL BS 38</v>
      </c>
      <c r="I136" s="9">
        <f>IFERROR(__xludf.DUMMYFUNCTION("""COMPUTED_VALUE"""),45444.0)</f>
        <v>45444</v>
      </c>
      <c r="J136" s="9">
        <f>IFERROR(__xludf.DUMMYFUNCTION("""COMPUTED_VALUE"""),46539.0)</f>
        <v>46539</v>
      </c>
      <c r="K136" s="10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7" t="str">
        <f>IFERROR(__xludf.DUMMYFUNCTION("""COMPUTED_VALUE"""),"Dennison")</f>
        <v>Dennison</v>
      </c>
      <c r="B137" s="8" t="str">
        <f>IFERROR(__xludf.DUMMYFUNCTION("""COMPUTED_VALUE"""),"Justin")</f>
        <v>Justin</v>
      </c>
      <c r="C137" s="8" t="str">
        <f>IFERROR(__xludf.DUMMYFUNCTION("""COMPUTED_VALUE"""),"Merrill")</f>
        <v>Merrill</v>
      </c>
      <c r="D137" s="8" t="str">
        <f>IFERROR(__xludf.DUMMYFUNCTION("""COMPUTED_VALUE"""),"WI")</f>
        <v>WI</v>
      </c>
      <c r="E137" s="8"/>
      <c r="F137" s="8" t="str">
        <f>IFERROR(__xludf.DUMMYFUNCTION("""COMPUTED_VALUE"""),"Men Cricket Dbls")</f>
        <v>Men Cricket Dbls</v>
      </c>
      <c r="G137" s="8" t="str">
        <f>IFERROR(__xludf.DUMMYFUNCTION("""COMPUTED_VALUE"""),"3rd")</f>
        <v>3rd</v>
      </c>
      <c r="H137" s="8" t="str">
        <f>IFERROR(__xludf.DUMMYFUNCTION("""COMPUTED_VALUE"""),"PA BS 38")</f>
        <v>PA BS 38</v>
      </c>
      <c r="I137" s="9">
        <f>IFERROR(__xludf.DUMMYFUNCTION("""COMPUTED_VALUE"""),45444.0)</f>
        <v>45444</v>
      </c>
      <c r="J137" s="9">
        <f>IFERROR(__xludf.DUMMYFUNCTION("""COMPUTED_VALUE"""),46539.0)</f>
        <v>46539</v>
      </c>
      <c r="K137" s="10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7" t="str">
        <f>IFERROR(__xludf.DUMMYFUNCTION("""COMPUTED_VALUE"""),"DIETRICH")</f>
        <v>DIETRICH</v>
      </c>
      <c r="B138" s="8" t="str">
        <f>IFERROR(__xludf.DUMMYFUNCTION("""COMPUTED_VALUE"""),"MARK")</f>
        <v>MARK</v>
      </c>
      <c r="C138" s="8" t="str">
        <f>IFERROR(__xludf.DUMMYFUNCTION("""COMPUTED_VALUE"""),"ANDOVER")</f>
        <v>ANDOVER</v>
      </c>
      <c r="D138" s="8" t="str">
        <f>IFERROR(__xludf.DUMMYFUNCTION("""COMPUTED_VALUE"""),"OH")</f>
        <v>OH</v>
      </c>
      <c r="E138" s="8" t="str">
        <f>IFERROR(__xludf.DUMMYFUNCTION("""COMPUTED_VALUE"""),"USA")</f>
        <v>USA</v>
      </c>
      <c r="F138" s="8" t="str">
        <f>IFERROR(__xludf.DUMMYFUNCTION("""COMPUTED_VALUE"""),"MEN CRICKET DBLS")</f>
        <v>MEN CRICKET DBLS</v>
      </c>
      <c r="G138" s="8" t="str">
        <f>IFERROR(__xludf.DUMMYFUNCTION("""COMPUTED_VALUE"""),"2")</f>
        <v>2</v>
      </c>
      <c r="H138" s="8" t="str">
        <f>IFERROR(__xludf.DUMMYFUNCTION("""COMPUTED_VALUE"""),"BS 37 OH")</f>
        <v>BS 37 OH</v>
      </c>
      <c r="I138" s="9">
        <f>IFERROR(__xludf.DUMMYFUNCTION("""COMPUTED_VALUE"""),45078.0)</f>
        <v>45078</v>
      </c>
      <c r="J138" s="9">
        <f>IFERROR(__xludf.DUMMYFUNCTION("""COMPUTED_VALUE"""),46174.0)</f>
        <v>46174</v>
      </c>
      <c r="K138" s="10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7" t="str">
        <f>IFERROR(__xludf.DUMMYFUNCTION("""COMPUTED_VALUE"""),"DIGIOSIA JR")</f>
        <v>DIGIOSIA JR</v>
      </c>
      <c r="B139" s="8" t="str">
        <f>IFERROR(__xludf.DUMMYFUNCTION("""COMPUTED_VALUE"""),"SAM")</f>
        <v>SAM</v>
      </c>
      <c r="C139" s="8" t="str">
        <f>IFERROR(__xludf.DUMMYFUNCTION("""COMPUTED_VALUE"""),"BIRDSBORO")</f>
        <v>BIRDSBORO</v>
      </c>
      <c r="D139" s="8" t="str">
        <f>IFERROR(__xludf.DUMMYFUNCTION("""COMPUTED_VALUE"""),"PA")</f>
        <v>PA</v>
      </c>
      <c r="E139" s="8" t="str">
        <f>IFERROR(__xludf.DUMMYFUNCTION("""COMPUTED_VALUE"""),"USA")</f>
        <v>USA</v>
      </c>
      <c r="F139" s="8" t="str">
        <f>IFERROR(__xludf.DUMMYFUNCTION("""COMPUTED_VALUE"""),"PRO 501 DBLS")</f>
        <v>PRO 501 DBLS</v>
      </c>
      <c r="G139" s="8" t="str">
        <f>IFERROR(__xludf.DUMMYFUNCTION("""COMPUTED_VALUE"""),"3")</f>
        <v>3</v>
      </c>
      <c r="H139" s="8" t="str">
        <f>IFERROR(__xludf.DUMMYFUNCTION("""COMPUTED_VALUE"""),"BS 37 NY")</f>
        <v>BS 37 NY</v>
      </c>
      <c r="I139" s="9">
        <f>IFERROR(__xludf.DUMMYFUNCTION("""COMPUTED_VALUE"""),45078.0)</f>
        <v>45078</v>
      </c>
      <c r="J139" s="9">
        <f>IFERROR(__xludf.DUMMYFUNCTION("""COMPUTED_VALUE"""),46174.0)</f>
        <v>46174</v>
      </c>
      <c r="K139" s="10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7" t="str">
        <f>IFERROR(__xludf.DUMMYFUNCTION("""COMPUTED_VALUE"""),"Dixon")</f>
        <v>Dixon</v>
      </c>
      <c r="B140" s="8" t="str">
        <f>IFERROR(__xludf.DUMMYFUNCTION("""COMPUTED_VALUE"""),"Robert")</f>
        <v>Robert</v>
      </c>
      <c r="C140" s="8" t="str">
        <f>IFERROR(__xludf.DUMMYFUNCTION("""COMPUTED_VALUE"""),"Spring Valley")</f>
        <v>Spring Valley</v>
      </c>
      <c r="D140" s="8" t="str">
        <f>IFERROR(__xludf.DUMMYFUNCTION("""COMPUTED_VALUE"""),"CA")</f>
        <v>CA</v>
      </c>
      <c r="E140" s="8"/>
      <c r="F140" s="8" t="str">
        <f>IFERROR(__xludf.DUMMYFUNCTION("""COMPUTED_VALUE"""),"Pro 501 Dbls")</f>
        <v>Pro 501 Dbls</v>
      </c>
      <c r="G140" s="8" t="str">
        <f>IFERROR(__xludf.DUMMYFUNCTION("""COMPUTED_VALUE"""),"3rd")</f>
        <v>3rd</v>
      </c>
      <c r="H140" s="8" t="str">
        <f>IFERROR(__xludf.DUMMYFUNCTION("""COMPUTED_VALUE"""),"AZ BS 38")</f>
        <v>AZ BS 38</v>
      </c>
      <c r="I140" s="9">
        <f>IFERROR(__xludf.DUMMYFUNCTION("""COMPUTED_VALUE"""),45444.0)</f>
        <v>45444</v>
      </c>
      <c r="J140" s="9">
        <f>IFERROR(__xludf.DUMMYFUNCTION("""COMPUTED_VALUE"""),46539.0)</f>
        <v>46539</v>
      </c>
      <c r="K140" s="10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7" t="str">
        <f>IFERROR(__xludf.DUMMYFUNCTION("""COMPUTED_VALUE"""),"DOBSON")</f>
        <v>DOBSON</v>
      </c>
      <c r="B141" s="8" t="str">
        <f>IFERROR(__xludf.DUMMYFUNCTION("""COMPUTED_VALUE"""),"LARRY")</f>
        <v>LARRY</v>
      </c>
      <c r="C141" s="8" t="str">
        <f>IFERROR(__xludf.DUMMYFUNCTION("""COMPUTED_VALUE"""),"NOCONA")</f>
        <v>NOCONA</v>
      </c>
      <c r="D141" s="8" t="str">
        <f>IFERROR(__xludf.DUMMYFUNCTION("""COMPUTED_VALUE"""),"TX")</f>
        <v>TX</v>
      </c>
      <c r="E141" s="8" t="str">
        <f>IFERROR(__xludf.DUMMYFUNCTION("""COMPUTED_VALUE"""),"USA")</f>
        <v>USA</v>
      </c>
      <c r="F141" s="8" t="str">
        <f>IFERROR(__xludf.DUMMYFUNCTION("""COMPUTED_VALUE"""),"MIXED 701 TRIPLES")</f>
        <v>MIXED 701 TRIPLES</v>
      </c>
      <c r="G141" s="8" t="str">
        <f>IFERROR(__xludf.DUMMYFUNCTION("""COMPUTED_VALUE"""),"1")</f>
        <v>1</v>
      </c>
      <c r="H141" s="8" t="str">
        <f>IFERROR(__xludf.DUMMYFUNCTION("""COMPUTED_VALUE"""),"BS 37 TX")</f>
        <v>BS 37 TX</v>
      </c>
      <c r="I141" s="9">
        <f>IFERROR(__xludf.DUMMYFUNCTION("""COMPUTED_VALUE"""),45078.0)</f>
        <v>45078</v>
      </c>
      <c r="J141" s="9">
        <f>IFERROR(__xludf.DUMMYFUNCTION("""COMPUTED_VALUE"""),46174.0)</f>
        <v>46174</v>
      </c>
      <c r="K141" s="10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7" t="str">
        <f>IFERROR(__xludf.DUMMYFUNCTION("""COMPUTED_VALUE"""),"Dockemeyer")</f>
        <v>Dockemeyer</v>
      </c>
      <c r="B142" s="8" t="str">
        <f>IFERROR(__xludf.DUMMYFUNCTION("""COMPUTED_VALUE"""),"Darren")</f>
        <v>Darren</v>
      </c>
      <c r="C142" s="8"/>
      <c r="D142" s="8"/>
      <c r="E142" s="8"/>
      <c r="F142" s="8" t="str">
        <f>IFERROR(__xludf.DUMMYFUNCTION("""COMPUTED_VALUE"""),"Mens 501 Dbls")</f>
        <v>Mens 501 Dbls</v>
      </c>
      <c r="G142" s="8" t="str">
        <f>IFERROR(__xludf.DUMMYFUNCTION("""COMPUTED_VALUE"""),"4th")</f>
        <v>4th</v>
      </c>
      <c r="H142" s="8" t="str">
        <f>IFERROR(__xludf.DUMMYFUNCTION("""COMPUTED_VALUE"""),"BS 38 Finals")</f>
        <v>BS 38 Finals</v>
      </c>
      <c r="I142" s="9">
        <f>IFERROR(__xludf.DUMMYFUNCTION("""COMPUTED_VALUE"""),45444.0)</f>
        <v>45444</v>
      </c>
      <c r="J142" s="9">
        <f>IFERROR(__xludf.DUMMYFUNCTION("""COMPUTED_VALUE"""),46539.0)</f>
        <v>46539</v>
      </c>
      <c r="K142" s="10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7" t="str">
        <f>IFERROR(__xludf.DUMMYFUNCTION("""COMPUTED_VALUE"""),"DONAVAN")</f>
        <v>DONAVAN</v>
      </c>
      <c r="B143" s="8" t="str">
        <f>IFERROR(__xludf.DUMMYFUNCTION("""COMPUTED_VALUE"""),"GEORGE")</f>
        <v>GEORGE</v>
      </c>
      <c r="C143" s="8" t="str">
        <f>IFERROR(__xludf.DUMMYFUNCTION("""COMPUTED_VALUE"""),"MELBOURNE")</f>
        <v>MELBOURNE</v>
      </c>
      <c r="D143" s="8" t="str">
        <f>IFERROR(__xludf.DUMMYFUNCTION("""COMPUTED_VALUE"""),"FL")</f>
        <v>FL</v>
      </c>
      <c r="E143" s="8" t="str">
        <f>IFERROR(__xludf.DUMMYFUNCTION("""COMPUTED_VALUE"""),"USA")</f>
        <v>USA</v>
      </c>
      <c r="F143" s="8" t="str">
        <f>IFERROR(__xludf.DUMMYFUNCTION("""COMPUTED_VALUE"""),"MIXED 701 TRIPLES")</f>
        <v>MIXED 701 TRIPLES</v>
      </c>
      <c r="G143" s="8" t="str">
        <f>IFERROR(__xludf.DUMMYFUNCTION("""COMPUTED_VALUE"""),"1")</f>
        <v>1</v>
      </c>
      <c r="H143" s="8" t="str">
        <f>IFERROR(__xludf.DUMMYFUNCTION("""COMPUTED_VALUE"""),"BS 37 FL")</f>
        <v>BS 37 FL</v>
      </c>
      <c r="I143" s="9">
        <f>IFERROR(__xludf.DUMMYFUNCTION("""COMPUTED_VALUE"""),45078.0)</f>
        <v>45078</v>
      </c>
      <c r="J143" s="9">
        <f>IFERROR(__xludf.DUMMYFUNCTION("""COMPUTED_VALUE"""),46174.0)</f>
        <v>46174</v>
      </c>
      <c r="K143" s="10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7" t="str">
        <f>IFERROR(__xludf.DUMMYFUNCTION("""COMPUTED_VALUE"""),"Dotson")</f>
        <v>Dotson</v>
      </c>
      <c r="B144" s="8" t="str">
        <f>IFERROR(__xludf.DUMMYFUNCTION("""COMPUTED_VALUE"""),"Morgan")</f>
        <v>Morgan</v>
      </c>
      <c r="C144" s="8"/>
      <c r="D144" s="8"/>
      <c r="E144" s="8" t="str">
        <f>IFERROR(__xludf.DUMMYFUNCTION("""COMPUTED_VALUE"""),"USA")</f>
        <v>USA</v>
      </c>
      <c r="F144" s="8"/>
      <c r="G144" s="8"/>
      <c r="H144" s="8" t="str">
        <f>IFERROR(__xludf.DUMMYFUNCTION("""COMPUTED_VALUE"""),"ADO Top 25 2020")</f>
        <v>ADO Top 25 2020</v>
      </c>
      <c r="I144" s="9">
        <f>IFERROR(__xludf.DUMMYFUNCTION("""COMPUTED_VALUE"""),44348.0)</f>
        <v>44348</v>
      </c>
      <c r="J144" s="9">
        <f>IFERROR(__xludf.DUMMYFUNCTION("""COMPUTED_VALUE"""),46539.0)</f>
        <v>46539</v>
      </c>
      <c r="K144" s="10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7" t="str">
        <f>IFERROR(__xludf.DUMMYFUNCTION("""COMPUTED_VALUE"""),"Doyle")</f>
        <v>Doyle</v>
      </c>
      <c r="B145" s="8" t="str">
        <f>IFERROR(__xludf.DUMMYFUNCTION("""COMPUTED_VALUE"""),"Kenny")</f>
        <v>Kenny</v>
      </c>
      <c r="C145" s="8" t="str">
        <f>IFERROR(__xludf.DUMMYFUNCTION("""COMPUTED_VALUE"""),"Altamonte Springs")</f>
        <v>Altamonte Springs</v>
      </c>
      <c r="D145" s="8" t="str">
        <f>IFERROR(__xludf.DUMMYFUNCTION("""COMPUTED_VALUE"""),"FL")</f>
        <v>FL</v>
      </c>
      <c r="E145" s="8"/>
      <c r="F145" s="8" t="str">
        <f>IFERROR(__xludf.DUMMYFUNCTION("""COMPUTED_VALUE"""),"Pro/Am")</f>
        <v>Pro/Am</v>
      </c>
      <c r="G145" s="8" t="str">
        <f>IFERROR(__xludf.DUMMYFUNCTION("""COMPUTED_VALUE"""),"3rd")</f>
        <v>3rd</v>
      </c>
      <c r="H145" s="8" t="str">
        <f>IFERROR(__xludf.DUMMYFUNCTION("""COMPUTED_VALUE"""),"FL BS 38")</f>
        <v>FL BS 38</v>
      </c>
      <c r="I145" s="9">
        <f>IFERROR(__xludf.DUMMYFUNCTION("""COMPUTED_VALUE"""),45444.0)</f>
        <v>45444</v>
      </c>
      <c r="J145" s="9">
        <f>IFERROR(__xludf.DUMMYFUNCTION("""COMPUTED_VALUE"""),46539.0)</f>
        <v>46539</v>
      </c>
      <c r="K145" s="10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7" t="str">
        <f>IFERROR(__xludf.DUMMYFUNCTION("""COMPUTED_VALUE"""),"DRAGER")</f>
        <v>DRAGER</v>
      </c>
      <c r="B146" s="8" t="str">
        <f>IFERROR(__xludf.DUMMYFUNCTION("""COMPUTED_VALUE"""),"CODY")</f>
        <v>CODY</v>
      </c>
      <c r="C146" s="8" t="str">
        <f>IFERROR(__xludf.DUMMYFUNCTION("""COMPUTED_VALUE"""),"MARKESAN")</f>
        <v>MARKESAN</v>
      </c>
      <c r="D146" s="8" t="str">
        <f>IFERROR(__xludf.DUMMYFUNCTION("""COMPUTED_VALUE"""),"WI")</f>
        <v>WI</v>
      </c>
      <c r="E146" s="8" t="str">
        <f>IFERROR(__xludf.DUMMYFUNCTION("""COMPUTED_VALUE"""),"USA")</f>
        <v>USA</v>
      </c>
      <c r="F146" s="8" t="str">
        <f>IFERROR(__xludf.DUMMYFUNCTION("""COMPUTED_VALUE"""),"MIXED DBLS CRICKET")</f>
        <v>MIXED DBLS CRICKET</v>
      </c>
      <c r="G146" s="8" t="str">
        <f>IFERROR(__xludf.DUMMYFUNCTION("""COMPUTED_VALUE"""),"1ST")</f>
        <v>1ST</v>
      </c>
      <c r="H146" s="8" t="str">
        <f>IFERROR(__xludf.DUMMYFUNCTION("""COMPUTED_VALUE"""),"BS 36 REGIONAL IN")</f>
        <v>BS 36 REGIONAL IN</v>
      </c>
      <c r="I146" s="9">
        <f>IFERROR(__xludf.DUMMYFUNCTION("""COMPUTED_VALUE"""),44713.0)</f>
        <v>44713</v>
      </c>
      <c r="J146" s="9">
        <f>IFERROR(__xludf.DUMMYFUNCTION("""COMPUTED_VALUE"""),45809.0)</f>
        <v>45809</v>
      </c>
      <c r="K146" s="10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7" t="str">
        <f>IFERROR(__xludf.DUMMYFUNCTION("""COMPUTED_VALUE"""),"Drion")</f>
        <v>Drion</v>
      </c>
      <c r="B147" s="8" t="str">
        <f>IFERROR(__xludf.DUMMYFUNCTION("""COMPUTED_VALUE"""),"Jean Pierre")</f>
        <v>Jean Pierre</v>
      </c>
      <c r="C147" s="8"/>
      <c r="D147" s="8" t="str">
        <f>IFERROR(__xludf.DUMMYFUNCTION("""COMPUTED_VALUE"""),"UNK")</f>
        <v>UNK</v>
      </c>
      <c r="E147" s="8" t="str">
        <f>IFERROR(__xludf.DUMMYFUNCTION("""COMPUTED_VALUE"""),"Belgium")</f>
        <v>Belgium</v>
      </c>
      <c r="F147" s="8" t="str">
        <f>IFERROR(__xludf.DUMMYFUNCTION("""COMPUTED_VALUE"""),"Known Pro")</f>
        <v>Known Pro</v>
      </c>
      <c r="G147" s="8"/>
      <c r="H147" s="8" t="str">
        <f>IFERROR(__xludf.DUMMYFUNCTION("""COMPUTED_VALUE"""),"Known Ability")</f>
        <v>Known Ability</v>
      </c>
      <c r="I147" s="9">
        <f>IFERROR(__xludf.DUMMYFUNCTION("""COMPUTED_VALUE"""),36892.0)</f>
        <v>36892</v>
      </c>
      <c r="J147" s="9">
        <f>IFERROR(__xludf.DUMMYFUNCTION("""COMPUTED_VALUE"""),47635.0)</f>
        <v>47635</v>
      </c>
      <c r="K147" s="10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7" t="str">
        <f>IFERROR(__xludf.DUMMYFUNCTION("""COMPUTED_VALUE"""),"DUCARME")</f>
        <v>DUCARME</v>
      </c>
      <c r="B148" s="8" t="str">
        <f>IFERROR(__xludf.DUMMYFUNCTION("""COMPUTED_VALUE"""),"DENNIS")</f>
        <v>DENNIS</v>
      </c>
      <c r="C148" s="8" t="str">
        <f>IFERROR(__xludf.DUMMYFUNCTION("""COMPUTED_VALUE"""),"SCOTTDALE")</f>
        <v>SCOTTDALE</v>
      </c>
      <c r="D148" s="8" t="str">
        <f>IFERROR(__xludf.DUMMYFUNCTION("""COMPUTED_VALUE"""),"PA")</f>
        <v>PA</v>
      </c>
      <c r="E148" s="8" t="str">
        <f>IFERROR(__xludf.DUMMYFUNCTION("""COMPUTED_VALUE"""),"USA")</f>
        <v>USA</v>
      </c>
      <c r="F148" s="8" t="str">
        <f>IFERROR(__xludf.DUMMYFUNCTION("""COMPUTED_VALUE"""),"MEN 501 DBLS")</f>
        <v>MEN 501 DBLS</v>
      </c>
      <c r="G148" s="8" t="str">
        <f>IFERROR(__xludf.DUMMYFUNCTION("""COMPUTED_VALUE"""),"3")</f>
        <v>3</v>
      </c>
      <c r="H148" s="8" t="str">
        <f>IFERROR(__xludf.DUMMYFUNCTION("""COMPUTED_VALUE"""),"BS 37 NY")</f>
        <v>BS 37 NY</v>
      </c>
      <c r="I148" s="9">
        <f>IFERROR(__xludf.DUMMYFUNCTION("""COMPUTED_VALUE"""),45078.0)</f>
        <v>45078</v>
      </c>
      <c r="J148" s="9">
        <f>IFERROR(__xludf.DUMMYFUNCTION("""COMPUTED_VALUE"""),46174.0)</f>
        <v>46174</v>
      </c>
      <c r="K148" s="10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7" t="str">
        <f>IFERROR(__xludf.DUMMYFUNCTION("""COMPUTED_VALUE"""),"Duke")</f>
        <v>Duke</v>
      </c>
      <c r="B149" s="8" t="str">
        <f>IFERROR(__xludf.DUMMYFUNCTION("""COMPUTED_VALUE"""),"Justin")</f>
        <v>Justin</v>
      </c>
      <c r="C149" s="8" t="str">
        <f>IFERROR(__xludf.DUMMYFUNCTION("""COMPUTED_VALUE"""),"OKC")</f>
        <v>OKC</v>
      </c>
      <c r="D149" s="8" t="str">
        <f>IFERROR(__xludf.DUMMYFUNCTION("""COMPUTED_VALUE"""),"OK")</f>
        <v>OK</v>
      </c>
      <c r="E149" s="8"/>
      <c r="F149" s="8" t="str">
        <f>IFERROR(__xludf.DUMMYFUNCTION("""COMPUTED_VALUE"""),"Mixed Trips")</f>
        <v>Mixed Trips</v>
      </c>
      <c r="G149" s="8" t="str">
        <f>IFERROR(__xludf.DUMMYFUNCTION("""COMPUTED_VALUE"""),"1st")</f>
        <v>1st</v>
      </c>
      <c r="H149" s="8" t="str">
        <f>IFERROR(__xludf.DUMMYFUNCTION("""COMPUTED_VALUE"""),"TX BS 38")</f>
        <v>TX BS 38</v>
      </c>
      <c r="I149" s="9">
        <f>IFERROR(__xludf.DUMMYFUNCTION("""COMPUTED_VALUE"""),45444.0)</f>
        <v>45444</v>
      </c>
      <c r="J149" s="9">
        <f>IFERROR(__xludf.DUMMYFUNCTION("""COMPUTED_VALUE"""),46539.0)</f>
        <v>46539</v>
      </c>
      <c r="K149" s="10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7" t="str">
        <f>IFERROR(__xludf.DUMMYFUNCTION("""COMPUTED_VALUE"""),"Dunagan")</f>
        <v>Dunagan</v>
      </c>
      <c r="B150" s="8" t="str">
        <f>IFERROR(__xludf.DUMMYFUNCTION("""COMPUTED_VALUE"""),"Brian")</f>
        <v>Brian</v>
      </c>
      <c r="C150" s="8" t="str">
        <f>IFERROR(__xludf.DUMMYFUNCTION("""COMPUTED_VALUE"""),"Tolleson")</f>
        <v>Tolleson</v>
      </c>
      <c r="D150" s="8" t="str">
        <f>IFERROR(__xludf.DUMMYFUNCTION("""COMPUTED_VALUE"""),"AZ")</f>
        <v>AZ</v>
      </c>
      <c r="E150" s="8"/>
      <c r="F150" s="8" t="str">
        <f>IFERROR(__xludf.DUMMYFUNCTION("""COMPUTED_VALUE"""),"Men Cricket Dbls")</f>
        <v>Men Cricket Dbls</v>
      </c>
      <c r="G150" s="8" t="str">
        <f>IFERROR(__xludf.DUMMYFUNCTION("""COMPUTED_VALUE"""),"1st")</f>
        <v>1st</v>
      </c>
      <c r="H150" s="8" t="str">
        <f>IFERROR(__xludf.DUMMYFUNCTION("""COMPUTED_VALUE"""),"AZ BS 38")</f>
        <v>AZ BS 38</v>
      </c>
      <c r="I150" s="9">
        <f>IFERROR(__xludf.DUMMYFUNCTION("""COMPUTED_VALUE"""),45444.0)</f>
        <v>45444</v>
      </c>
      <c r="J150" s="9">
        <f>IFERROR(__xludf.DUMMYFUNCTION("""COMPUTED_VALUE"""),46539.0)</f>
        <v>46539</v>
      </c>
      <c r="K150" s="10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7" t="str">
        <f>IFERROR(__xludf.DUMMYFUNCTION("""COMPUTED_VALUE"""),"DUNAWAY")</f>
        <v>DUNAWAY</v>
      </c>
      <c r="B151" s="8" t="str">
        <f>IFERROR(__xludf.DUMMYFUNCTION("""COMPUTED_VALUE"""),"SCOTT")</f>
        <v>SCOTT</v>
      </c>
      <c r="C151" s="8" t="str">
        <f>IFERROR(__xludf.DUMMYFUNCTION("""COMPUTED_VALUE"""),"OMAHA")</f>
        <v>OMAHA</v>
      </c>
      <c r="D151" s="8" t="str">
        <f>IFERROR(__xludf.DUMMYFUNCTION("""COMPUTED_VALUE"""),"NE")</f>
        <v>NE</v>
      </c>
      <c r="E151" s="8" t="str">
        <f>IFERROR(__xludf.DUMMYFUNCTION("""COMPUTED_VALUE"""),"USA")</f>
        <v>USA</v>
      </c>
      <c r="F151" s="8" t="str">
        <f>IFERROR(__xludf.DUMMYFUNCTION("""COMPUTED_VALUE"""),"PRO/AM CRICKET")</f>
        <v>PRO/AM CRICKET</v>
      </c>
      <c r="G151" s="8" t="str">
        <f>IFERROR(__xludf.DUMMYFUNCTION("""COMPUTED_VALUE"""),"2ND")</f>
        <v>2ND</v>
      </c>
      <c r="H151" s="8" t="str">
        <f>IFERROR(__xludf.DUMMYFUNCTION("""COMPUTED_VALUE"""),"BS 36 REGIONAL NE")</f>
        <v>BS 36 REGIONAL NE</v>
      </c>
      <c r="I151" s="9">
        <f>IFERROR(__xludf.DUMMYFUNCTION("""COMPUTED_VALUE"""),44713.0)</f>
        <v>44713</v>
      </c>
      <c r="J151" s="9">
        <f>IFERROR(__xludf.DUMMYFUNCTION("""COMPUTED_VALUE"""),45809.0)</f>
        <v>45809</v>
      </c>
      <c r="K151" s="10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7" t="str">
        <f>IFERROR(__xludf.DUMMYFUNCTION("""COMPUTED_VALUE"""),"DURKEE")</f>
        <v>DURKEE</v>
      </c>
      <c r="B152" s="8" t="str">
        <f>IFERROR(__xludf.DUMMYFUNCTION("""COMPUTED_VALUE"""),"STEVEN")</f>
        <v>STEVEN</v>
      </c>
      <c r="C152" s="8" t="str">
        <f>IFERROR(__xludf.DUMMYFUNCTION("""COMPUTED_VALUE"""),"YUKON")</f>
        <v>YUKON</v>
      </c>
      <c r="D152" s="8" t="str">
        <f>IFERROR(__xludf.DUMMYFUNCTION("""COMPUTED_VALUE"""),"OK")</f>
        <v>OK</v>
      </c>
      <c r="E152" s="8" t="str">
        <f>IFERROR(__xludf.DUMMYFUNCTION("""COMPUTED_VALUE"""),"USA")</f>
        <v>USA</v>
      </c>
      <c r="F152" s="8" t="str">
        <f>IFERROR(__xludf.DUMMYFUNCTION("""COMPUTED_VALUE"""),"MEN 501 DBLS")</f>
        <v>MEN 501 DBLS</v>
      </c>
      <c r="G152" s="8" t="str">
        <f>IFERROR(__xludf.DUMMYFUNCTION("""COMPUTED_VALUE"""),"2")</f>
        <v>2</v>
      </c>
      <c r="H152" s="8" t="str">
        <f>IFERROR(__xludf.DUMMYFUNCTION("""COMPUTED_VALUE"""),"BS 37 NE")</f>
        <v>BS 37 NE</v>
      </c>
      <c r="I152" s="9">
        <f>IFERROR(__xludf.DUMMYFUNCTION("""COMPUTED_VALUE"""),45078.0)</f>
        <v>45078</v>
      </c>
      <c r="J152" s="9">
        <f>IFERROR(__xludf.DUMMYFUNCTION("""COMPUTED_VALUE"""),46174.0)</f>
        <v>46174</v>
      </c>
      <c r="K152" s="10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7" t="str">
        <f>IFERROR(__xludf.DUMMYFUNCTION("""COMPUTED_VALUE"""),"Dycus")</f>
        <v>Dycus</v>
      </c>
      <c r="B153" s="8" t="str">
        <f>IFERROR(__xludf.DUMMYFUNCTION("""COMPUTED_VALUE"""),"Shawn")</f>
        <v>Shawn</v>
      </c>
      <c r="C153" s="8" t="str">
        <f>IFERROR(__xludf.DUMMYFUNCTION("""COMPUTED_VALUE"""),"Crystal Lake")</f>
        <v>Crystal Lake</v>
      </c>
      <c r="D153" s="8" t="str">
        <f>IFERROR(__xludf.DUMMYFUNCTION("""COMPUTED_VALUE"""),"IL")</f>
        <v>IL</v>
      </c>
      <c r="E153" s="8" t="str">
        <f>IFERROR(__xludf.DUMMYFUNCTION("""COMPUTED_VALUE"""),"USA")</f>
        <v>USA</v>
      </c>
      <c r="F153" s="8" t="str">
        <f>IFERROR(__xludf.DUMMYFUNCTION("""COMPUTED_VALUE"""),"Pro Doubles")</f>
        <v>Pro Doubles</v>
      </c>
      <c r="G153" s="8" t="str">
        <f>IFERROR(__xludf.DUMMYFUNCTION("""COMPUTED_VALUE"""),"2nd")</f>
        <v>2nd</v>
      </c>
      <c r="H153" s="8" t="str">
        <f>IFERROR(__xludf.DUMMYFUNCTION("""COMPUTED_VALUE"""),"Known Ability")</f>
        <v>Known Ability</v>
      </c>
      <c r="I153" s="9">
        <f>IFERROR(__xludf.DUMMYFUNCTION("""COMPUTED_VALUE"""),36892.0)</f>
        <v>36892</v>
      </c>
      <c r="J153" s="9">
        <f>IFERROR(__xludf.DUMMYFUNCTION("""COMPUTED_VALUE"""),47635.0)</f>
        <v>47635</v>
      </c>
      <c r="K153" s="10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7" t="str">
        <f>IFERROR(__xludf.DUMMYFUNCTION("""COMPUTED_VALUE"""),"Edwards")</f>
        <v>Edwards</v>
      </c>
      <c r="B154" s="8" t="str">
        <f>IFERROR(__xludf.DUMMYFUNCTION("""COMPUTED_VALUE"""),"John")</f>
        <v>John</v>
      </c>
      <c r="C154" s="8" t="str">
        <f>IFERROR(__xludf.DUMMYFUNCTION("""COMPUTED_VALUE"""),"Correctionville")</f>
        <v>Correctionville</v>
      </c>
      <c r="D154" s="8" t="str">
        <f>IFERROR(__xludf.DUMMYFUNCTION("""COMPUTED_VALUE"""),"IA")</f>
        <v>IA</v>
      </c>
      <c r="E154" s="8"/>
      <c r="F154" s="8" t="str">
        <f>IFERROR(__xludf.DUMMYFUNCTION("""COMPUTED_VALUE"""),"Pro 501 Dbls")</f>
        <v>Pro 501 Dbls</v>
      </c>
      <c r="G154" s="8" t="str">
        <f>IFERROR(__xludf.DUMMYFUNCTION("""COMPUTED_VALUE"""),"2nd")</f>
        <v>2nd</v>
      </c>
      <c r="H154" s="8" t="str">
        <f>IFERROR(__xludf.DUMMYFUNCTION("""COMPUTED_VALUE"""),"NE BS 38")</f>
        <v>NE BS 38</v>
      </c>
      <c r="I154" s="9">
        <f>IFERROR(__xludf.DUMMYFUNCTION("""COMPUTED_VALUE"""),45444.0)</f>
        <v>45444</v>
      </c>
      <c r="J154" s="9">
        <f>IFERROR(__xludf.DUMMYFUNCTION("""COMPUTED_VALUE"""),46539.0)</f>
        <v>46539</v>
      </c>
      <c r="K154" s="10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11" t="str">
        <f>IFERROR(__xludf.DUMMYFUNCTION("""COMPUTED_VALUE"""),"EDWARDS")</f>
        <v>EDWARDS</v>
      </c>
      <c r="B155" s="12" t="str">
        <f>IFERROR(__xludf.DUMMYFUNCTION("""COMPUTED_VALUE"""),"JAMES")</f>
        <v>JAMES</v>
      </c>
      <c r="C155" s="12" t="str">
        <f>IFERROR(__xludf.DUMMYFUNCTION("""COMPUTED_VALUE"""),"INDY")</f>
        <v>INDY</v>
      </c>
      <c r="D155" s="12" t="str">
        <f>IFERROR(__xludf.DUMMYFUNCTION("""COMPUTED_VALUE"""),"IN")</f>
        <v>IN</v>
      </c>
      <c r="E155" s="12" t="str">
        <f>IFERROR(__xludf.DUMMYFUNCTION("""COMPUTED_VALUE"""),"USA")</f>
        <v>USA</v>
      </c>
      <c r="F155" s="12" t="str">
        <f>IFERROR(__xludf.DUMMYFUNCTION("""COMPUTED_VALUE"""),"MEN 501 DBLS")</f>
        <v>MEN 501 DBLS</v>
      </c>
      <c r="G155" s="12" t="str">
        <f>IFERROR(__xludf.DUMMYFUNCTION("""COMPUTED_VALUE"""),"3")</f>
        <v>3</v>
      </c>
      <c r="H155" s="12" t="str">
        <f>IFERROR(__xludf.DUMMYFUNCTION("""COMPUTED_VALUE"""),"BS 37 IN")</f>
        <v>BS 37 IN</v>
      </c>
      <c r="I155" s="14">
        <f>IFERROR(__xludf.DUMMYFUNCTION("""COMPUTED_VALUE"""),45078.0)</f>
        <v>45078</v>
      </c>
      <c r="J155" s="14">
        <f>IFERROR(__xludf.DUMMYFUNCTION("""COMPUTED_VALUE"""),46174.0)</f>
        <v>46174</v>
      </c>
      <c r="K155" s="10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7" t="str">
        <f>IFERROR(__xludf.DUMMYFUNCTION("""COMPUTED_VALUE"""),"ELDER")</f>
        <v>ELDER</v>
      </c>
      <c r="B156" s="8" t="str">
        <f>IFERROR(__xludf.DUMMYFUNCTION("""COMPUTED_VALUE"""),"CRAIG")</f>
        <v>CRAIG</v>
      </c>
      <c r="C156" s="8" t="str">
        <f>IFERROR(__xludf.DUMMYFUNCTION("""COMPUTED_VALUE"""),"MYRTLE BEACH")</f>
        <v>MYRTLE BEACH</v>
      </c>
      <c r="D156" s="8" t="str">
        <f>IFERROR(__xludf.DUMMYFUNCTION("""COMPUTED_VALUE"""),"SC")</f>
        <v>SC</v>
      </c>
      <c r="E156" s="8" t="str">
        <f>IFERROR(__xludf.DUMMYFUNCTION("""COMPUTED_VALUE"""),"USA")</f>
        <v>USA</v>
      </c>
      <c r="F156" s="8" t="str">
        <f>IFERROR(__xludf.DUMMYFUNCTION("""COMPUTED_VALUE"""),"MEN 501 DBLS")</f>
        <v>MEN 501 DBLS</v>
      </c>
      <c r="G156" s="8" t="str">
        <f>IFERROR(__xludf.DUMMYFUNCTION("""COMPUTED_VALUE"""),"1")</f>
        <v>1</v>
      </c>
      <c r="H156" s="8" t="str">
        <f>IFERROR(__xludf.DUMMYFUNCTION("""COMPUTED_VALUE"""),"BS 37 SC")</f>
        <v>BS 37 SC</v>
      </c>
      <c r="I156" s="9">
        <f>IFERROR(__xludf.DUMMYFUNCTION("""COMPUTED_VALUE"""),45078.0)</f>
        <v>45078</v>
      </c>
      <c r="J156" s="9">
        <f>IFERROR(__xludf.DUMMYFUNCTION("""COMPUTED_VALUE"""),46174.0)</f>
        <v>46174</v>
      </c>
      <c r="K156" s="10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7" t="str">
        <f>IFERROR(__xludf.DUMMYFUNCTION("""COMPUTED_VALUE"""),"ELLEDGE")</f>
        <v>ELLEDGE</v>
      </c>
      <c r="B157" s="8" t="str">
        <f>IFERROR(__xludf.DUMMYFUNCTION("""COMPUTED_VALUE"""),"GEORGE")</f>
        <v>GEORGE</v>
      </c>
      <c r="C157" s="8" t="str">
        <f>IFERROR(__xludf.DUMMYFUNCTION("""COMPUTED_VALUE"""),"HOUSTON")</f>
        <v>HOUSTON</v>
      </c>
      <c r="D157" s="8" t="str">
        <f>IFERROR(__xludf.DUMMYFUNCTION("""COMPUTED_VALUE"""),"TX")</f>
        <v>TX</v>
      </c>
      <c r="E157" s="8" t="str">
        <f>IFERROR(__xludf.DUMMYFUNCTION("""COMPUTED_VALUE"""),"USA")</f>
        <v>USA</v>
      </c>
      <c r="F157" s="8" t="str">
        <f>IFERROR(__xludf.DUMMYFUNCTION("""COMPUTED_VALUE"""),"MEN 501 DBLS")</f>
        <v>MEN 501 DBLS</v>
      </c>
      <c r="G157" s="8" t="str">
        <f>IFERROR(__xludf.DUMMYFUNCTION("""COMPUTED_VALUE"""),"2")</f>
        <v>2</v>
      </c>
      <c r="H157" s="8" t="str">
        <f>IFERROR(__xludf.DUMMYFUNCTION("""COMPUTED_VALUE"""),"BS 37 TX")</f>
        <v>BS 37 TX</v>
      </c>
      <c r="I157" s="9">
        <f>IFERROR(__xludf.DUMMYFUNCTION("""COMPUTED_VALUE"""),45078.0)</f>
        <v>45078</v>
      </c>
      <c r="J157" s="9">
        <f>IFERROR(__xludf.DUMMYFUNCTION("""COMPUTED_VALUE"""),46174.0)</f>
        <v>46174</v>
      </c>
      <c r="K157" s="10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7" t="str">
        <f>IFERROR(__xludf.DUMMYFUNCTION("""COMPUTED_VALUE"""),"Elliott")</f>
        <v>Elliott</v>
      </c>
      <c r="B158" s="8" t="str">
        <f>IFERROR(__xludf.DUMMYFUNCTION("""COMPUTED_VALUE"""),"Anthony")</f>
        <v>Anthony</v>
      </c>
      <c r="C158" s="8" t="str">
        <f>IFERROR(__xludf.DUMMYFUNCTION("""COMPUTED_VALUE"""),"Farwell")</f>
        <v>Farwell</v>
      </c>
      <c r="D158" s="8" t="str">
        <f>IFERROR(__xludf.DUMMYFUNCTION("""COMPUTED_VALUE"""),"MI")</f>
        <v>MI</v>
      </c>
      <c r="E158" s="8"/>
      <c r="F158" s="8" t="str">
        <f>IFERROR(__xludf.DUMMYFUNCTION("""COMPUTED_VALUE"""),"Pro 501 Dbls")</f>
        <v>Pro 501 Dbls</v>
      </c>
      <c r="G158" s="8" t="str">
        <f>IFERROR(__xludf.DUMMYFUNCTION("""COMPUTED_VALUE"""),"3rd")</f>
        <v>3rd</v>
      </c>
      <c r="H158" s="8" t="str">
        <f>IFERROR(__xludf.DUMMYFUNCTION("""COMPUTED_VALUE"""),"MI BS 38")</f>
        <v>MI BS 38</v>
      </c>
      <c r="I158" s="9">
        <f>IFERROR(__xludf.DUMMYFUNCTION("""COMPUTED_VALUE"""),45444.0)</f>
        <v>45444</v>
      </c>
      <c r="J158" s="9">
        <f>IFERROR(__xludf.DUMMYFUNCTION("""COMPUTED_VALUE"""),46539.0)</f>
        <v>46539</v>
      </c>
      <c r="K158" s="10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7" t="str">
        <f>IFERROR(__xludf.DUMMYFUNCTION("""COMPUTED_VALUE"""),"Engelman")</f>
        <v>Engelman</v>
      </c>
      <c r="B159" s="8" t="str">
        <f>IFERROR(__xludf.DUMMYFUNCTION("""COMPUTED_VALUE"""),"Troy")</f>
        <v>Troy</v>
      </c>
      <c r="C159" s="8" t="str">
        <f>IFERROR(__xludf.DUMMYFUNCTION("""COMPUTED_VALUE"""),"Kettering")</f>
        <v>Kettering</v>
      </c>
      <c r="D159" s="8" t="str">
        <f>IFERROR(__xludf.DUMMYFUNCTION("""COMPUTED_VALUE"""),"OH")</f>
        <v>OH</v>
      </c>
      <c r="E159" s="8" t="str">
        <f>IFERROR(__xludf.DUMMYFUNCTION("""COMPUTED_VALUE"""),"USA")</f>
        <v>USA</v>
      </c>
      <c r="F159" s="8" t="str">
        <f>IFERROR(__xludf.DUMMYFUNCTION("""COMPUTED_VALUE"""),"TopGun A/AA Triples")</f>
        <v>TopGun A/AA Triples</v>
      </c>
      <c r="G159" s="8" t="str">
        <f>IFERROR(__xludf.DUMMYFUNCTION("""COMPUTED_VALUE"""),"3rd")</f>
        <v>3rd</v>
      </c>
      <c r="H159" s="8" t="str">
        <f>IFERROR(__xludf.DUMMYFUNCTION("""COMPUTED_VALUE"""),"BullShooter 34 Finals")</f>
        <v>BullShooter 34 Finals</v>
      </c>
      <c r="I159" s="9">
        <f>IFERROR(__xludf.DUMMYFUNCTION("""COMPUTED_VALUE"""),43617.0)</f>
        <v>43617</v>
      </c>
      <c r="J159" s="9">
        <f>IFERROR(__xludf.DUMMYFUNCTION("""COMPUTED_VALUE"""),45809.0)</f>
        <v>45809</v>
      </c>
      <c r="K159" s="1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7" t="str">
        <f>IFERROR(__xludf.DUMMYFUNCTION("""COMPUTED_VALUE"""),"Ervin")</f>
        <v>Ervin</v>
      </c>
      <c r="B160" s="8" t="str">
        <f>IFERROR(__xludf.DUMMYFUNCTION("""COMPUTED_VALUE"""),"Dakota")</f>
        <v>Dakota</v>
      </c>
      <c r="C160" s="8" t="str">
        <f>IFERROR(__xludf.DUMMYFUNCTION("""COMPUTED_VALUE"""),"Spokane")</f>
        <v>Spokane</v>
      </c>
      <c r="D160" s="8" t="str">
        <f>IFERROR(__xludf.DUMMYFUNCTION("""COMPUTED_VALUE"""),"WA")</f>
        <v>WA</v>
      </c>
      <c r="E160" s="8"/>
      <c r="F160" s="8" t="str">
        <f>IFERROR(__xludf.DUMMYFUNCTION("""COMPUTED_VALUE"""),"Men Cricket Dbls")</f>
        <v>Men Cricket Dbls</v>
      </c>
      <c r="G160" s="8" t="str">
        <f>IFERROR(__xludf.DUMMYFUNCTION("""COMPUTED_VALUE"""),"3rd")</f>
        <v>3rd</v>
      </c>
      <c r="H160" s="8" t="str">
        <f>IFERROR(__xludf.DUMMYFUNCTION("""COMPUTED_VALUE"""),"WA BS 38")</f>
        <v>WA BS 38</v>
      </c>
      <c r="I160" s="9">
        <f>IFERROR(__xludf.DUMMYFUNCTION("""COMPUTED_VALUE"""),45444.0)</f>
        <v>45444</v>
      </c>
      <c r="J160" s="9">
        <f>IFERROR(__xludf.DUMMYFUNCTION("""COMPUTED_VALUE"""),46539.0)</f>
        <v>46539</v>
      </c>
      <c r="K160" s="1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7" t="str">
        <f>IFERROR(__xludf.DUMMYFUNCTION("""COMPUTED_VALUE"""),"ESQUIBEL")</f>
        <v>ESQUIBEL</v>
      </c>
      <c r="B161" s="8" t="str">
        <f>IFERROR(__xludf.DUMMYFUNCTION("""COMPUTED_VALUE"""),"MICHAEL")</f>
        <v>MICHAEL</v>
      </c>
      <c r="C161" s="8" t="str">
        <f>IFERROR(__xludf.DUMMYFUNCTION("""COMPUTED_VALUE"""),"BROWNSVILLE")</f>
        <v>BROWNSVILLE</v>
      </c>
      <c r="D161" s="8" t="str">
        <f>IFERROR(__xludf.DUMMYFUNCTION("""COMPUTED_VALUE"""),"TX")</f>
        <v>TX</v>
      </c>
      <c r="E161" s="8" t="str">
        <f>IFERROR(__xludf.DUMMYFUNCTION("""COMPUTED_VALUE"""),"USA")</f>
        <v>USA</v>
      </c>
      <c r="F161" s="8" t="str">
        <f>IFERROR(__xludf.DUMMYFUNCTION("""COMPUTED_VALUE"""),"MEN 501 DBLS")</f>
        <v>MEN 501 DBLS</v>
      </c>
      <c r="G161" s="8" t="str">
        <f>IFERROR(__xludf.DUMMYFUNCTION("""COMPUTED_VALUE"""),"3")</f>
        <v>3</v>
      </c>
      <c r="H161" s="8" t="str">
        <f>IFERROR(__xludf.DUMMYFUNCTION("""COMPUTED_VALUE"""),"BS 37 TX")</f>
        <v>BS 37 TX</v>
      </c>
      <c r="I161" s="9">
        <f>IFERROR(__xludf.DUMMYFUNCTION("""COMPUTED_VALUE"""),45078.0)</f>
        <v>45078</v>
      </c>
      <c r="J161" s="9">
        <f>IFERROR(__xludf.DUMMYFUNCTION("""COMPUTED_VALUE"""),46174.0)</f>
        <v>46174</v>
      </c>
      <c r="K161" s="10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7" t="str">
        <f>IFERROR(__xludf.DUMMYFUNCTION("""COMPUTED_VALUE"""),"Evans")</f>
        <v>Evans</v>
      </c>
      <c r="B162" s="8" t="str">
        <f>IFERROR(__xludf.DUMMYFUNCTION("""COMPUTED_VALUE"""),"Davin")</f>
        <v>Davin</v>
      </c>
      <c r="C162" s="8" t="str">
        <f>IFERROR(__xludf.DUMMYFUNCTION("""COMPUTED_VALUE"""),"Greeleyville")</f>
        <v>Greeleyville</v>
      </c>
      <c r="D162" s="8" t="str">
        <f>IFERROR(__xludf.DUMMYFUNCTION("""COMPUTED_VALUE"""),"SC")</f>
        <v>SC</v>
      </c>
      <c r="E162" s="8"/>
      <c r="F162" s="8" t="str">
        <f>IFERROR(__xludf.DUMMYFUNCTION("""COMPUTED_VALUE"""),"Men 501 Dbls")</f>
        <v>Men 501 Dbls</v>
      </c>
      <c r="G162" s="8" t="str">
        <f>IFERROR(__xludf.DUMMYFUNCTION("""COMPUTED_VALUE"""),"3rd")</f>
        <v>3rd</v>
      </c>
      <c r="H162" s="8" t="str">
        <f>IFERROR(__xludf.DUMMYFUNCTION("""COMPUTED_VALUE"""),"SC BS 38")</f>
        <v>SC BS 38</v>
      </c>
      <c r="I162" s="9">
        <f>IFERROR(__xludf.DUMMYFUNCTION("""COMPUTED_VALUE"""),45444.0)</f>
        <v>45444</v>
      </c>
      <c r="J162" s="9">
        <f>IFERROR(__xludf.DUMMYFUNCTION("""COMPUTED_VALUE"""),46539.0)</f>
        <v>46539</v>
      </c>
      <c r="K162" s="10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7" t="str">
        <f>IFERROR(__xludf.DUMMYFUNCTION("""COMPUTED_VALUE"""),"FACEY")</f>
        <v>FACEY</v>
      </c>
      <c r="B163" s="8" t="str">
        <f>IFERROR(__xludf.DUMMYFUNCTION("""COMPUTED_VALUE"""),"PAUL")</f>
        <v>PAUL</v>
      </c>
      <c r="C163" s="8" t="str">
        <f>IFERROR(__xludf.DUMMYFUNCTION("""COMPUTED_VALUE"""),"RICHMAN")</f>
        <v>RICHMAN</v>
      </c>
      <c r="D163" s="8" t="str">
        <f>IFERROR(__xludf.DUMMYFUNCTION("""COMPUTED_VALUE"""),"IN")</f>
        <v>IN</v>
      </c>
      <c r="E163" s="8" t="str">
        <f>IFERROR(__xludf.DUMMYFUNCTION("""COMPUTED_VALUE"""),"USA")</f>
        <v>USA</v>
      </c>
      <c r="F163" s="8" t="str">
        <f>IFERROR(__xludf.DUMMYFUNCTION("""COMPUTED_VALUE"""),"MEN SINGLES")</f>
        <v>MEN SINGLES</v>
      </c>
      <c r="G163" s="8" t="str">
        <f>IFERROR(__xludf.DUMMYFUNCTION("""COMPUTED_VALUE"""),"1")</f>
        <v>1</v>
      </c>
      <c r="H163" s="8" t="str">
        <f>IFERROR(__xludf.DUMMYFUNCTION("""COMPUTED_VALUE"""),"BS 37 IN")</f>
        <v>BS 37 IN</v>
      </c>
      <c r="I163" s="9">
        <f>IFERROR(__xludf.DUMMYFUNCTION("""COMPUTED_VALUE"""),45078.0)</f>
        <v>45078</v>
      </c>
      <c r="J163" s="9">
        <f>IFERROR(__xludf.DUMMYFUNCTION("""COMPUTED_VALUE"""),46174.0)</f>
        <v>46174</v>
      </c>
      <c r="K163" s="10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7" t="str">
        <f>IFERROR(__xludf.DUMMYFUNCTION("""COMPUTED_VALUE"""),"Fatum")</f>
        <v>Fatum</v>
      </c>
      <c r="B164" s="8" t="str">
        <f>IFERROR(__xludf.DUMMYFUNCTION("""COMPUTED_VALUE"""),"Dave")</f>
        <v>Dave</v>
      </c>
      <c r="C164" s="8" t="str">
        <f>IFERROR(__xludf.DUMMYFUNCTION("""COMPUTED_VALUE"""),"Mesa")</f>
        <v>Mesa</v>
      </c>
      <c r="D164" s="8" t="str">
        <f>IFERROR(__xludf.DUMMYFUNCTION("""COMPUTED_VALUE"""),"AZ")</f>
        <v>AZ</v>
      </c>
      <c r="E164" s="8"/>
      <c r="F164" s="8" t="str">
        <f>IFERROR(__xludf.DUMMYFUNCTION("""COMPUTED_VALUE"""),"Pro Cricket Dbls")</f>
        <v>Pro Cricket Dbls</v>
      </c>
      <c r="G164" s="8" t="str">
        <f>IFERROR(__xludf.DUMMYFUNCTION("""COMPUTED_VALUE"""),"2nd")</f>
        <v>2nd</v>
      </c>
      <c r="H164" s="8" t="str">
        <f>IFERROR(__xludf.DUMMYFUNCTION("""COMPUTED_VALUE"""),"AZ BS 38")</f>
        <v>AZ BS 38</v>
      </c>
      <c r="I164" s="9">
        <f>IFERROR(__xludf.DUMMYFUNCTION("""COMPUTED_VALUE"""),45444.0)</f>
        <v>45444</v>
      </c>
      <c r="J164" s="9">
        <f>IFERROR(__xludf.DUMMYFUNCTION("""COMPUTED_VALUE"""),46539.0)</f>
        <v>46539</v>
      </c>
      <c r="K164" s="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7" t="str">
        <f>IFERROR(__xludf.DUMMYFUNCTION("""COMPUTED_VALUE"""),"Fawcett")</f>
        <v>Fawcett</v>
      </c>
      <c r="B165" s="8" t="str">
        <f>IFERROR(__xludf.DUMMYFUNCTION("""COMPUTED_VALUE"""),"Justin")</f>
        <v>Justin</v>
      </c>
      <c r="C165" s="8" t="str">
        <f>IFERROR(__xludf.DUMMYFUNCTION("""COMPUTED_VALUE"""),"Burlington")</f>
        <v>Burlington</v>
      </c>
      <c r="D165" s="8"/>
      <c r="E165" s="8" t="str">
        <f>IFERROR(__xludf.DUMMYFUNCTION("""COMPUTED_VALUE"""),"Canada")</f>
        <v>Canada</v>
      </c>
      <c r="F165" s="8" t="str">
        <f>IFERROR(__xludf.DUMMYFUNCTION("""COMPUTED_VALUE"""),"Men Singles")</f>
        <v>Men Singles</v>
      </c>
      <c r="G165" s="8" t="str">
        <f>IFERROR(__xludf.DUMMYFUNCTION("""COMPUTED_VALUE"""),"2nd")</f>
        <v>2nd</v>
      </c>
      <c r="H165" s="8" t="str">
        <f>IFERROR(__xludf.DUMMYFUNCTION("""COMPUTED_VALUE"""),"NY BS 38")</f>
        <v>NY BS 38</v>
      </c>
      <c r="I165" s="9">
        <f>IFERROR(__xludf.DUMMYFUNCTION("""COMPUTED_VALUE"""),45444.0)</f>
        <v>45444</v>
      </c>
      <c r="J165" s="9">
        <f>IFERROR(__xludf.DUMMYFUNCTION("""COMPUTED_VALUE"""),46539.0)</f>
        <v>46539</v>
      </c>
      <c r="K165" s="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7" t="str">
        <f>IFERROR(__xludf.DUMMYFUNCTION("""COMPUTED_VALUE"""),"Fedewa")</f>
        <v>Fedewa</v>
      </c>
      <c r="B166" s="8" t="str">
        <f>IFERROR(__xludf.DUMMYFUNCTION("""COMPUTED_VALUE"""),"Trever")</f>
        <v>Trever</v>
      </c>
      <c r="C166" s="8" t="str">
        <f>IFERROR(__xludf.DUMMYFUNCTION("""COMPUTED_VALUE"""),"Lake Isabella")</f>
        <v>Lake Isabella</v>
      </c>
      <c r="D166" s="8" t="str">
        <f>IFERROR(__xludf.DUMMYFUNCTION("""COMPUTED_VALUE"""),"MI")</f>
        <v>MI</v>
      </c>
      <c r="E166" s="8"/>
      <c r="F166" s="8" t="str">
        <f>IFERROR(__xludf.DUMMYFUNCTION("""COMPUTED_VALUE"""),"Pro Singles")</f>
        <v>Pro Singles</v>
      </c>
      <c r="G166" s="8" t="str">
        <f>IFERROR(__xludf.DUMMYFUNCTION("""COMPUTED_VALUE"""),"2nd")</f>
        <v>2nd</v>
      </c>
      <c r="H166" s="8" t="str">
        <f>IFERROR(__xludf.DUMMYFUNCTION("""COMPUTED_VALUE"""),"MI BS 38")</f>
        <v>MI BS 38</v>
      </c>
      <c r="I166" s="9">
        <f>IFERROR(__xludf.DUMMYFUNCTION("""COMPUTED_VALUE"""),45444.0)</f>
        <v>45444</v>
      </c>
      <c r="J166" s="9">
        <f>IFERROR(__xludf.DUMMYFUNCTION("""COMPUTED_VALUE"""),46539.0)</f>
        <v>46539</v>
      </c>
      <c r="K166" s="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7" t="str">
        <f>IFERROR(__xludf.DUMMYFUNCTION("""COMPUTED_VALUE"""),"Feko")</f>
        <v>Feko</v>
      </c>
      <c r="B167" s="8" t="str">
        <f>IFERROR(__xludf.DUMMYFUNCTION("""COMPUTED_VALUE"""),"Russell")</f>
        <v>Russell</v>
      </c>
      <c r="C167" s="8" t="str">
        <f>IFERROR(__xludf.DUMMYFUNCTION("""COMPUTED_VALUE"""),"Inkster")</f>
        <v>Inkster</v>
      </c>
      <c r="D167" s="8" t="str">
        <f>IFERROR(__xludf.DUMMYFUNCTION("""COMPUTED_VALUE"""),"MI")</f>
        <v>MI</v>
      </c>
      <c r="E167" s="8"/>
      <c r="F167" s="8" t="str">
        <f>IFERROR(__xludf.DUMMYFUNCTION("""COMPUTED_VALUE"""),"Men Cricket Dbls")</f>
        <v>Men Cricket Dbls</v>
      </c>
      <c r="G167" s="8" t="str">
        <f>IFERROR(__xludf.DUMMYFUNCTION("""COMPUTED_VALUE"""),"3rd")</f>
        <v>3rd</v>
      </c>
      <c r="H167" s="8" t="str">
        <f>IFERROR(__xludf.DUMMYFUNCTION("""COMPUTED_VALUE"""),"MI BS 38")</f>
        <v>MI BS 38</v>
      </c>
      <c r="I167" s="9">
        <f>IFERROR(__xludf.DUMMYFUNCTION("""COMPUTED_VALUE"""),45444.0)</f>
        <v>45444</v>
      </c>
      <c r="J167" s="9">
        <f>IFERROR(__xludf.DUMMYFUNCTION("""COMPUTED_VALUE"""),46539.0)</f>
        <v>46539</v>
      </c>
      <c r="K167" s="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7" t="str">
        <f>IFERROR(__xludf.DUMMYFUNCTION("""COMPUTED_VALUE"""),"Fernando")</f>
        <v>Fernando</v>
      </c>
      <c r="B168" s="8" t="str">
        <f>IFERROR(__xludf.DUMMYFUNCTION("""COMPUTED_VALUE"""),"Junlan")</f>
        <v>Junlan</v>
      </c>
      <c r="C168" s="8" t="str">
        <f>IFERROR(__xludf.DUMMYFUNCTION("""COMPUTED_VALUE"""),"Portsmouth")</f>
        <v>Portsmouth</v>
      </c>
      <c r="D168" s="8" t="str">
        <f>IFERROR(__xludf.DUMMYFUNCTION("""COMPUTED_VALUE"""),"OH")</f>
        <v>OH</v>
      </c>
      <c r="E168" s="8"/>
      <c r="F168" s="8" t="str">
        <f>IFERROR(__xludf.DUMMYFUNCTION("""COMPUTED_VALUE"""),"Men Singles")</f>
        <v>Men Singles</v>
      </c>
      <c r="G168" s="8" t="str">
        <f>IFERROR(__xludf.DUMMYFUNCTION("""COMPUTED_VALUE"""),"2nd")</f>
        <v>2nd</v>
      </c>
      <c r="H168" s="8" t="str">
        <f>IFERROR(__xludf.DUMMYFUNCTION("""COMPUTED_VALUE"""),"OH BS 38")</f>
        <v>OH BS 38</v>
      </c>
      <c r="I168" s="9">
        <f>IFERROR(__xludf.DUMMYFUNCTION("""COMPUTED_VALUE"""),45444.0)</f>
        <v>45444</v>
      </c>
      <c r="J168" s="9">
        <f>IFERROR(__xludf.DUMMYFUNCTION("""COMPUTED_VALUE"""),46539.0)</f>
        <v>46539</v>
      </c>
      <c r="K168" s="10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7" t="str">
        <f>IFERROR(__xludf.DUMMYFUNCTION("""COMPUTED_VALUE"""),"Fernando")</f>
        <v>Fernando</v>
      </c>
      <c r="B169" s="8" t="str">
        <f>IFERROR(__xludf.DUMMYFUNCTION("""COMPUTED_VALUE"""),"Randy")</f>
        <v>Randy</v>
      </c>
      <c r="C169" s="8" t="str">
        <f>IFERROR(__xludf.DUMMYFUNCTION("""COMPUTED_VALUE"""),"LaPorte")</f>
        <v>LaPorte</v>
      </c>
      <c r="D169" s="8" t="str">
        <f>IFERROR(__xludf.DUMMYFUNCTION("""COMPUTED_VALUE"""),"IN")</f>
        <v>IN</v>
      </c>
      <c r="E169" s="8"/>
      <c r="F169" s="8" t="str">
        <f>IFERROR(__xludf.DUMMYFUNCTION("""COMPUTED_VALUE"""),"Pro Singles")</f>
        <v>Pro Singles</v>
      </c>
      <c r="G169" s="8" t="str">
        <f>IFERROR(__xludf.DUMMYFUNCTION("""COMPUTED_VALUE"""),"1st")</f>
        <v>1st</v>
      </c>
      <c r="H169" s="8" t="str">
        <f>IFERROR(__xludf.DUMMYFUNCTION("""COMPUTED_VALUE"""),"MI BS 38")</f>
        <v>MI BS 38</v>
      </c>
      <c r="I169" s="9">
        <f>IFERROR(__xludf.DUMMYFUNCTION("""COMPUTED_VALUE"""),45444.0)</f>
        <v>45444</v>
      </c>
      <c r="J169" s="9">
        <f>IFERROR(__xludf.DUMMYFUNCTION("""COMPUTED_VALUE"""),46539.0)</f>
        <v>46539</v>
      </c>
      <c r="K169" s="1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7" t="str">
        <f>IFERROR(__xludf.DUMMYFUNCTION("""COMPUTED_VALUE"""),"Ferrell")</f>
        <v>Ferrell</v>
      </c>
      <c r="B170" s="8" t="str">
        <f>IFERROR(__xludf.DUMMYFUNCTION("""COMPUTED_VALUE"""),"Ryan")</f>
        <v>Ryan</v>
      </c>
      <c r="C170" s="8"/>
      <c r="D170" s="8"/>
      <c r="E170" s="8"/>
      <c r="F170" s="8" t="str">
        <f>IFERROR(__xludf.DUMMYFUNCTION("""COMPUTED_VALUE"""),"Mens 501 Dbls")</f>
        <v>Mens 501 Dbls</v>
      </c>
      <c r="G170" s="8" t="str">
        <f>IFERROR(__xludf.DUMMYFUNCTION("""COMPUTED_VALUE"""),"4th")</f>
        <v>4th</v>
      </c>
      <c r="H170" s="8" t="str">
        <f>IFERROR(__xludf.DUMMYFUNCTION("""COMPUTED_VALUE"""),"BS 38 Finals")</f>
        <v>BS 38 Finals</v>
      </c>
      <c r="I170" s="9">
        <f>IFERROR(__xludf.DUMMYFUNCTION("""COMPUTED_VALUE"""),45444.0)</f>
        <v>45444</v>
      </c>
      <c r="J170" s="9">
        <f>IFERROR(__xludf.DUMMYFUNCTION("""COMPUTED_VALUE"""),46539.0)</f>
        <v>46539</v>
      </c>
      <c r="K170" s="1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7" t="str">
        <f>IFERROR(__xludf.DUMMYFUNCTION("""COMPUTED_VALUE"""),"Ferrian")</f>
        <v>Ferrian</v>
      </c>
      <c r="B171" s="8" t="str">
        <f>IFERROR(__xludf.DUMMYFUNCTION("""COMPUTED_VALUE"""),"Scott")</f>
        <v>Scott</v>
      </c>
      <c r="C171" s="8"/>
      <c r="D171" s="8"/>
      <c r="E171" s="8"/>
      <c r="F171" s="8" t="str">
        <f>IFERROR(__xludf.DUMMYFUNCTION("""COMPUTED_VALUE"""),"Men Cricket Dbls")</f>
        <v>Men Cricket Dbls</v>
      </c>
      <c r="G171" s="8" t="str">
        <f>IFERROR(__xludf.DUMMYFUNCTION("""COMPUTED_VALUE"""),"3rd")</f>
        <v>3rd</v>
      </c>
      <c r="H171" s="8" t="str">
        <f>IFERROR(__xludf.DUMMYFUNCTION("""COMPUTED_VALUE"""),"BS 38 Finals")</f>
        <v>BS 38 Finals</v>
      </c>
      <c r="I171" s="9">
        <f>IFERROR(__xludf.DUMMYFUNCTION("""COMPUTED_VALUE"""),45444.0)</f>
        <v>45444</v>
      </c>
      <c r="J171" s="9">
        <f>IFERROR(__xludf.DUMMYFUNCTION("""COMPUTED_VALUE"""),46539.0)</f>
        <v>46539</v>
      </c>
      <c r="K171" s="10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7" t="str">
        <f>IFERROR(__xludf.DUMMYFUNCTION("""COMPUTED_VALUE"""),"FIELY")</f>
        <v>FIELY</v>
      </c>
      <c r="B172" s="8" t="str">
        <f>IFERROR(__xludf.DUMMYFUNCTION("""COMPUTED_VALUE"""),"MACKENZIE")</f>
        <v>MACKENZIE</v>
      </c>
      <c r="C172" s="8" t="str">
        <f>IFERROR(__xludf.DUMMYFUNCTION("""COMPUTED_VALUE"""),"WHITESTOWN")</f>
        <v>WHITESTOWN</v>
      </c>
      <c r="D172" s="8" t="str">
        <f>IFERROR(__xludf.DUMMYFUNCTION("""COMPUTED_VALUE"""),"IN")</f>
        <v>IN</v>
      </c>
      <c r="E172" s="8" t="str">
        <f>IFERROR(__xludf.DUMMYFUNCTION("""COMPUTED_VALUE"""),"USA")</f>
        <v>USA</v>
      </c>
      <c r="F172" s="8" t="str">
        <f>IFERROR(__xludf.DUMMYFUNCTION("""COMPUTED_VALUE"""),"PRO SINGLES")</f>
        <v>PRO SINGLES</v>
      </c>
      <c r="G172" s="8" t="str">
        <f>IFERROR(__xludf.DUMMYFUNCTION("""COMPUTED_VALUE"""),"1")</f>
        <v>1</v>
      </c>
      <c r="H172" s="8" t="str">
        <f>IFERROR(__xludf.DUMMYFUNCTION("""COMPUTED_VALUE"""),"BS 37 IN")</f>
        <v>BS 37 IN</v>
      </c>
      <c r="I172" s="9">
        <f>IFERROR(__xludf.DUMMYFUNCTION("""COMPUTED_VALUE"""),45078.0)</f>
        <v>45078</v>
      </c>
      <c r="J172" s="9">
        <f>IFERROR(__xludf.DUMMYFUNCTION("""COMPUTED_VALUE"""),46174.0)</f>
        <v>46174</v>
      </c>
      <c r="K172" s="10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7" t="str">
        <f>IFERROR(__xludf.DUMMYFUNCTION("""COMPUTED_VALUE"""),"FOIST")</f>
        <v>FOIST</v>
      </c>
      <c r="B173" s="8" t="str">
        <f>IFERROR(__xludf.DUMMYFUNCTION("""COMPUTED_VALUE"""),"SHAWN")</f>
        <v>SHAWN</v>
      </c>
      <c r="C173" s="8" t="str">
        <f>IFERROR(__xludf.DUMMYFUNCTION("""COMPUTED_VALUE"""),"OZARK")</f>
        <v>OZARK</v>
      </c>
      <c r="D173" s="8" t="str">
        <f>IFERROR(__xludf.DUMMYFUNCTION("""COMPUTED_VALUE"""),"AL")</f>
        <v>AL</v>
      </c>
      <c r="E173" s="8" t="str">
        <f>IFERROR(__xludf.DUMMYFUNCTION("""COMPUTED_VALUE"""),"USA")</f>
        <v>USA</v>
      </c>
      <c r="F173" s="8" t="str">
        <f>IFERROR(__xludf.DUMMYFUNCTION("""COMPUTED_VALUE"""),"PRO/AM CRICKET")</f>
        <v>PRO/AM CRICKET</v>
      </c>
      <c r="G173" s="8" t="str">
        <f>IFERROR(__xludf.DUMMYFUNCTION("""COMPUTED_VALUE"""),"3RD")</f>
        <v>3RD</v>
      </c>
      <c r="H173" s="8" t="str">
        <f>IFERROR(__xludf.DUMMYFUNCTION("""COMPUTED_VALUE"""),"BS 36 REGIONAL FL")</f>
        <v>BS 36 REGIONAL FL</v>
      </c>
      <c r="I173" s="9">
        <f>IFERROR(__xludf.DUMMYFUNCTION("""COMPUTED_VALUE"""),44713.0)</f>
        <v>44713</v>
      </c>
      <c r="J173" s="9">
        <f>IFERROR(__xludf.DUMMYFUNCTION("""COMPUTED_VALUE"""),45809.0)</f>
        <v>45809</v>
      </c>
      <c r="K173" s="10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7" t="str">
        <f>IFERROR(__xludf.DUMMYFUNCTION("""COMPUTED_VALUE"""),"Foran")</f>
        <v>Foran</v>
      </c>
      <c r="B174" s="8" t="str">
        <f>IFERROR(__xludf.DUMMYFUNCTION("""COMPUTED_VALUE"""),"Michael")</f>
        <v>Michael</v>
      </c>
      <c r="C174" s="8" t="str">
        <f>IFERROR(__xludf.DUMMYFUNCTION("""COMPUTED_VALUE"""),"Loveland")</f>
        <v>Loveland</v>
      </c>
      <c r="D174" s="8" t="str">
        <f>IFERROR(__xludf.DUMMYFUNCTION("""COMPUTED_VALUE"""),"CO")</f>
        <v>CO</v>
      </c>
      <c r="E174" s="8"/>
      <c r="F174" s="8" t="str">
        <f>IFERROR(__xludf.DUMMYFUNCTION("""COMPUTED_VALUE"""),"Men Cricket Dbls")</f>
        <v>Men Cricket Dbls</v>
      </c>
      <c r="G174" s="8" t="str">
        <f>IFERROR(__xludf.DUMMYFUNCTION("""COMPUTED_VALUE"""),"3rd")</f>
        <v>3rd</v>
      </c>
      <c r="H174" s="8" t="str">
        <f>IFERROR(__xludf.DUMMYFUNCTION("""COMPUTED_VALUE"""),"NE BS 38")</f>
        <v>NE BS 38</v>
      </c>
      <c r="I174" s="9">
        <f>IFERROR(__xludf.DUMMYFUNCTION("""COMPUTED_VALUE"""),45444.0)</f>
        <v>45444</v>
      </c>
      <c r="J174" s="9">
        <f>IFERROR(__xludf.DUMMYFUNCTION("""COMPUTED_VALUE"""),46539.0)</f>
        <v>46539</v>
      </c>
      <c r="K174" s="1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7" t="str">
        <f>IFERROR(__xludf.DUMMYFUNCTION("""COMPUTED_VALUE"""),"Foti")</f>
        <v>Foti</v>
      </c>
      <c r="B175" s="8" t="str">
        <f>IFERROR(__xludf.DUMMYFUNCTION("""COMPUTED_VALUE"""),"Anthony")</f>
        <v>Anthony</v>
      </c>
      <c r="C175" s="8" t="str">
        <f>IFERROR(__xludf.DUMMYFUNCTION("""COMPUTED_VALUE"""),"Ontario")</f>
        <v>Ontario</v>
      </c>
      <c r="D175" s="8" t="str">
        <f>IFERROR(__xludf.DUMMYFUNCTION("""COMPUTED_VALUE"""),"NY")</f>
        <v>NY</v>
      </c>
      <c r="E175" s="8"/>
      <c r="F175" s="8" t="str">
        <f>IFERROR(__xludf.DUMMYFUNCTION("""COMPUTED_VALUE"""),"Men 501 Dbls")</f>
        <v>Men 501 Dbls</v>
      </c>
      <c r="G175" s="8" t="str">
        <f>IFERROR(__xludf.DUMMYFUNCTION("""COMPUTED_VALUE"""),"2nd")</f>
        <v>2nd</v>
      </c>
      <c r="H175" s="8" t="str">
        <f>IFERROR(__xludf.DUMMYFUNCTION("""COMPUTED_VALUE"""),"NY BS 38")</f>
        <v>NY BS 38</v>
      </c>
      <c r="I175" s="9">
        <f>IFERROR(__xludf.DUMMYFUNCTION("""COMPUTED_VALUE"""),45444.0)</f>
        <v>45444</v>
      </c>
      <c r="J175" s="9">
        <f>IFERROR(__xludf.DUMMYFUNCTION("""COMPUTED_VALUE"""),46539.0)</f>
        <v>46539</v>
      </c>
      <c r="K175" s="1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7" t="str">
        <f>IFERROR(__xludf.DUMMYFUNCTION("""COMPUTED_VALUE"""),"FOUNTAINE")</f>
        <v>FOUNTAINE</v>
      </c>
      <c r="B176" s="8" t="str">
        <f>IFERROR(__xludf.DUMMYFUNCTION("""COMPUTED_VALUE"""),"GREGG")</f>
        <v>GREGG</v>
      </c>
      <c r="C176" s="8" t="str">
        <f>IFERROR(__xludf.DUMMYFUNCTION("""COMPUTED_VALUE"""),"OREGON")</f>
        <v>OREGON</v>
      </c>
      <c r="D176" s="8" t="str">
        <f>IFERROR(__xludf.DUMMYFUNCTION("""COMPUTED_VALUE"""),"OH")</f>
        <v>OH</v>
      </c>
      <c r="E176" s="8" t="str">
        <f>IFERROR(__xludf.DUMMYFUNCTION("""COMPUTED_VALUE"""),"USA")</f>
        <v>USA</v>
      </c>
      <c r="F176" s="8" t="str">
        <f>IFERROR(__xludf.DUMMYFUNCTION("""COMPUTED_VALUE"""),"TOP GUN TRIPS")</f>
        <v>TOP GUN TRIPS</v>
      </c>
      <c r="G176" s="8" t="str">
        <f>IFERROR(__xludf.DUMMYFUNCTION("""COMPUTED_VALUE"""),"1ST")</f>
        <v>1ST</v>
      </c>
      <c r="H176" s="8" t="str">
        <f>IFERROR(__xludf.DUMMYFUNCTION("""COMPUTED_VALUE"""),"BULLSHOOTER 36 FINALS")</f>
        <v>BULLSHOOTER 36 FINALS</v>
      </c>
      <c r="I176" s="9">
        <f>IFERROR(__xludf.DUMMYFUNCTION("""COMPUTED_VALUE"""),44713.0)</f>
        <v>44713</v>
      </c>
      <c r="J176" s="9">
        <f>IFERROR(__xludf.DUMMYFUNCTION("""COMPUTED_VALUE"""),45809.0)</f>
        <v>45809</v>
      </c>
      <c r="K176" s="10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7" t="str">
        <f>IFERROR(__xludf.DUMMYFUNCTION("""COMPUTED_VALUE"""),"FOWLER")</f>
        <v>FOWLER</v>
      </c>
      <c r="B177" s="8" t="str">
        <f>IFERROR(__xludf.DUMMYFUNCTION("""COMPUTED_VALUE"""),"NATE")</f>
        <v>NATE</v>
      </c>
      <c r="C177" s="8" t="str">
        <f>IFERROR(__xludf.DUMMYFUNCTION("""COMPUTED_VALUE"""),"ST LOUIS")</f>
        <v>ST LOUIS</v>
      </c>
      <c r="D177" s="8" t="str">
        <f>IFERROR(__xludf.DUMMYFUNCTION("""COMPUTED_VALUE"""),"MO")</f>
        <v>MO</v>
      </c>
      <c r="E177" s="8" t="str">
        <f>IFERROR(__xludf.DUMMYFUNCTION("""COMPUTED_VALUE"""),"USA")</f>
        <v>USA</v>
      </c>
      <c r="F177" s="8" t="str">
        <f>IFERROR(__xludf.DUMMYFUNCTION("""COMPUTED_VALUE"""),"MEN 501 DBLS")</f>
        <v>MEN 501 DBLS</v>
      </c>
      <c r="G177" s="8" t="str">
        <f>IFERROR(__xludf.DUMMYFUNCTION("""COMPUTED_VALUE"""),"4")</f>
        <v>4</v>
      </c>
      <c r="H177" s="8" t="str">
        <f>IFERROR(__xludf.DUMMYFUNCTION("""COMPUTED_VALUE"""),"BS 37 FINALS")</f>
        <v>BS 37 FINALS</v>
      </c>
      <c r="I177" s="9">
        <f>IFERROR(__xludf.DUMMYFUNCTION("""COMPUTED_VALUE"""),45078.0)</f>
        <v>45078</v>
      </c>
      <c r="J177" s="9">
        <f>IFERROR(__xludf.DUMMYFUNCTION("""COMPUTED_VALUE"""),46174.0)</f>
        <v>46174</v>
      </c>
      <c r="K177" s="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7" t="str">
        <f>IFERROR(__xludf.DUMMYFUNCTION("""COMPUTED_VALUE"""),"Franklin")</f>
        <v>Franklin</v>
      </c>
      <c r="B178" s="8" t="str">
        <f>IFERROR(__xludf.DUMMYFUNCTION("""COMPUTED_VALUE"""),"Jeffery")</f>
        <v>Jeffery</v>
      </c>
      <c r="C178" s="8" t="str">
        <f>IFERROR(__xludf.DUMMYFUNCTION("""COMPUTED_VALUE"""),"Ashland")</f>
        <v>Ashland</v>
      </c>
      <c r="D178" s="8" t="str">
        <f>IFERROR(__xludf.DUMMYFUNCTION("""COMPUTED_VALUE"""),"OH")</f>
        <v>OH</v>
      </c>
      <c r="E178" s="8"/>
      <c r="F178" s="8" t="str">
        <f>IFERROR(__xludf.DUMMYFUNCTION("""COMPUTED_VALUE"""),"Men 501 Dbls")</f>
        <v>Men 501 Dbls</v>
      </c>
      <c r="G178" s="8" t="str">
        <f>IFERROR(__xludf.DUMMYFUNCTION("""COMPUTED_VALUE"""),"3rd")</f>
        <v>3rd</v>
      </c>
      <c r="H178" s="8" t="str">
        <f>IFERROR(__xludf.DUMMYFUNCTION("""COMPUTED_VALUE"""),"PA BS 38")</f>
        <v>PA BS 38</v>
      </c>
      <c r="I178" s="9">
        <f>IFERROR(__xludf.DUMMYFUNCTION("""COMPUTED_VALUE"""),45444.0)</f>
        <v>45444</v>
      </c>
      <c r="J178" s="9">
        <f>IFERROR(__xludf.DUMMYFUNCTION("""COMPUTED_VALUE"""),46539.0)</f>
        <v>46539</v>
      </c>
      <c r="K178" s="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7.25" customHeight="1">
      <c r="A179" s="11" t="str">
        <f>IFERROR(__xludf.DUMMYFUNCTION("""COMPUTED_VALUE"""),"Franklin")</f>
        <v>Franklin</v>
      </c>
      <c r="B179" s="12" t="str">
        <f>IFERROR(__xludf.DUMMYFUNCTION("""COMPUTED_VALUE"""),"Chris")</f>
        <v>Chris</v>
      </c>
      <c r="C179" s="12"/>
      <c r="D179" s="12"/>
      <c r="E179" s="12" t="str">
        <f>IFERROR(__xludf.DUMMYFUNCTION("""COMPUTED_VALUE"""),"USA")</f>
        <v>USA</v>
      </c>
      <c r="F179" s="12"/>
      <c r="G179" s="12"/>
      <c r="H179" s="12" t="str">
        <f>IFERROR(__xludf.DUMMYFUNCTION("""COMPUTED_VALUE"""),"ADO Top 20 2021")</f>
        <v>ADO Top 20 2021</v>
      </c>
      <c r="I179" s="14">
        <f>IFERROR(__xludf.DUMMYFUNCTION("""COMPUTED_VALUE"""),44348.0)</f>
        <v>44348</v>
      </c>
      <c r="J179" s="14">
        <f>IFERROR(__xludf.DUMMYFUNCTION("""COMPUTED_VALUE"""),46539.0)</f>
        <v>46539</v>
      </c>
      <c r="K179" s="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7" t="str">
        <f>IFERROR(__xludf.DUMMYFUNCTION("""COMPUTED_VALUE"""),"FREDERICK")</f>
        <v>FREDERICK</v>
      </c>
      <c r="B180" s="8" t="str">
        <f>IFERROR(__xludf.DUMMYFUNCTION("""COMPUTED_VALUE"""),"JOSEPH")</f>
        <v>JOSEPH</v>
      </c>
      <c r="C180" s="8" t="str">
        <f>IFERROR(__xludf.DUMMYFUNCTION("""COMPUTED_VALUE"""),"WEST CAHZY")</f>
        <v>WEST CAHZY</v>
      </c>
      <c r="D180" s="8" t="str">
        <f>IFERROR(__xludf.DUMMYFUNCTION("""COMPUTED_VALUE"""),"NY")</f>
        <v>NY</v>
      </c>
      <c r="E180" s="8" t="str">
        <f>IFERROR(__xludf.DUMMYFUNCTION("""COMPUTED_VALUE"""),"USA")</f>
        <v>USA</v>
      </c>
      <c r="F180" s="8" t="str">
        <f>IFERROR(__xludf.DUMMYFUNCTION("""COMPUTED_VALUE"""),"MIXED TRIPLE 701")</f>
        <v>MIXED TRIPLE 701</v>
      </c>
      <c r="G180" s="8" t="str">
        <f>IFERROR(__xludf.DUMMYFUNCTION("""COMPUTED_VALUE"""),"2ND")</f>
        <v>2ND</v>
      </c>
      <c r="H180" s="8" t="str">
        <f>IFERROR(__xludf.DUMMYFUNCTION("""COMPUTED_VALUE"""),"BULLSHOOTER 36 FINALS")</f>
        <v>BULLSHOOTER 36 FINALS</v>
      </c>
      <c r="I180" s="9">
        <f>IFERROR(__xludf.DUMMYFUNCTION("""COMPUTED_VALUE"""),44713.0)</f>
        <v>44713</v>
      </c>
      <c r="J180" s="9">
        <f>IFERROR(__xludf.DUMMYFUNCTION("""COMPUTED_VALUE"""),45809.0)</f>
        <v>45809</v>
      </c>
      <c r="K180" s="10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7" t="str">
        <f>IFERROR(__xludf.DUMMYFUNCTION("""COMPUTED_VALUE"""),"FREEMAN")</f>
        <v>FREEMAN</v>
      </c>
      <c r="B181" s="8" t="str">
        <f>IFERROR(__xludf.DUMMYFUNCTION("""COMPUTED_VALUE"""),"BOBBY")</f>
        <v>BOBBY</v>
      </c>
      <c r="C181" s="8" t="str">
        <f>IFERROR(__xludf.DUMMYFUNCTION("""COMPUTED_VALUE"""),"SUSSEX")</f>
        <v>SUSSEX</v>
      </c>
      <c r="D181" s="8" t="str">
        <f>IFERROR(__xludf.DUMMYFUNCTION("""COMPUTED_VALUE"""),"NJ")</f>
        <v>NJ</v>
      </c>
      <c r="E181" s="8" t="str">
        <f>IFERROR(__xludf.DUMMYFUNCTION("""COMPUTED_VALUE"""),"USA")</f>
        <v>USA</v>
      </c>
      <c r="F181" s="8" t="str">
        <f>IFERROR(__xludf.DUMMYFUNCTION("""COMPUTED_VALUE"""),"MEN 501 DBLS")</f>
        <v>MEN 501 DBLS</v>
      </c>
      <c r="G181" s="8" t="str">
        <f>IFERROR(__xludf.DUMMYFUNCTION("""COMPUTED_VALUE"""),"3")</f>
        <v>3</v>
      </c>
      <c r="H181" s="8" t="str">
        <f>IFERROR(__xludf.DUMMYFUNCTION("""COMPUTED_VALUE"""),"BS 37 SC")</f>
        <v>BS 37 SC</v>
      </c>
      <c r="I181" s="9">
        <f>IFERROR(__xludf.DUMMYFUNCTION("""COMPUTED_VALUE"""),45078.0)</f>
        <v>45078</v>
      </c>
      <c r="J181" s="9">
        <f>IFERROR(__xludf.DUMMYFUNCTION("""COMPUTED_VALUE"""),46174.0)</f>
        <v>46174</v>
      </c>
      <c r="K181" s="10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7" t="str">
        <f>IFERROR(__xludf.DUMMYFUNCTION("""COMPUTED_VALUE"""),"Frizzell")</f>
        <v>Frizzell</v>
      </c>
      <c r="B182" s="8" t="str">
        <f>IFERROR(__xludf.DUMMYFUNCTION("""COMPUTED_VALUE"""),"Tim")</f>
        <v>Tim</v>
      </c>
      <c r="C182" s="8" t="str">
        <f>IFERROR(__xludf.DUMMYFUNCTION("""COMPUTED_VALUE"""),"Finleyville")</f>
        <v>Finleyville</v>
      </c>
      <c r="D182" s="8" t="str">
        <f>IFERROR(__xludf.DUMMYFUNCTION("""COMPUTED_VALUE"""),"PA")</f>
        <v>PA</v>
      </c>
      <c r="E182" s="8" t="str">
        <f>IFERROR(__xludf.DUMMYFUNCTION("""COMPUTED_VALUE"""),"USA")</f>
        <v>USA</v>
      </c>
      <c r="F182" s="8" t="str">
        <f>IFERROR(__xludf.DUMMYFUNCTION("""COMPUTED_VALUE"""),"Pro Doubles")</f>
        <v>Pro Doubles</v>
      </c>
      <c r="G182" s="8" t="str">
        <f>IFERROR(__xludf.DUMMYFUNCTION("""COMPUTED_VALUE"""),"2nd")</f>
        <v>2nd</v>
      </c>
      <c r="H182" s="8" t="str">
        <f>IFERROR(__xludf.DUMMYFUNCTION("""COMPUTED_VALUE"""),"Known Ability")</f>
        <v>Known Ability</v>
      </c>
      <c r="I182" s="9">
        <f>IFERROR(__xludf.DUMMYFUNCTION("""COMPUTED_VALUE"""),36892.0)</f>
        <v>36892</v>
      </c>
      <c r="J182" s="9">
        <f>IFERROR(__xludf.DUMMYFUNCTION("""COMPUTED_VALUE"""),47635.0)</f>
        <v>47635</v>
      </c>
      <c r="K182" s="1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7" t="str">
        <f>IFERROR(__xludf.DUMMYFUNCTION("""COMPUTED_VALUE"""),"FRY")</f>
        <v>FRY</v>
      </c>
      <c r="B183" s="8" t="str">
        <f>IFERROR(__xludf.DUMMYFUNCTION("""COMPUTED_VALUE"""),"BRECK")</f>
        <v>BRECK</v>
      </c>
      <c r="C183" s="8" t="str">
        <f>IFERROR(__xludf.DUMMYFUNCTION("""COMPUTED_VALUE"""),"SHEFFIELD")</f>
        <v>SHEFFIELD</v>
      </c>
      <c r="D183" s="8" t="str">
        <f>IFERROR(__xludf.DUMMYFUNCTION("""COMPUTED_VALUE"""),"PA")</f>
        <v>PA</v>
      </c>
      <c r="E183" s="8" t="str">
        <f>IFERROR(__xludf.DUMMYFUNCTION("""COMPUTED_VALUE"""),"USA")</f>
        <v>USA</v>
      </c>
      <c r="F183" s="8" t="str">
        <f>IFERROR(__xludf.DUMMYFUNCTION("""COMPUTED_VALUE"""),"MENS PRO DBLS 501")</f>
        <v>MENS PRO DBLS 501</v>
      </c>
      <c r="G183" s="8" t="str">
        <f>IFERROR(__xludf.DUMMYFUNCTION("""COMPUTED_VALUE"""),"3RD")</f>
        <v>3RD</v>
      </c>
      <c r="H183" s="8" t="str">
        <f>IFERROR(__xludf.DUMMYFUNCTION("""COMPUTED_VALUE"""),"BS 36 REGIONAL NY")</f>
        <v>BS 36 REGIONAL NY</v>
      </c>
      <c r="I183" s="9">
        <f>IFERROR(__xludf.DUMMYFUNCTION("""COMPUTED_VALUE"""),44713.0)</f>
        <v>44713</v>
      </c>
      <c r="J183" s="9">
        <f>IFERROR(__xludf.DUMMYFUNCTION("""COMPUTED_VALUE"""),45809.0)</f>
        <v>45809</v>
      </c>
      <c r="K183" s="1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7" t="str">
        <f>IFERROR(__xludf.DUMMYFUNCTION("""COMPUTED_VALUE"""),"Gabriel")</f>
        <v>Gabriel</v>
      </c>
      <c r="B184" s="8" t="str">
        <f>IFERROR(__xludf.DUMMYFUNCTION("""COMPUTED_VALUE"""),"Darryl")</f>
        <v>Darryl</v>
      </c>
      <c r="C184" s="8"/>
      <c r="D184" s="8"/>
      <c r="E184" s="8"/>
      <c r="F184" s="8" t="str">
        <f>IFERROR(__xludf.DUMMYFUNCTION("""COMPUTED_VALUE"""),"Mens 501 Dbls")</f>
        <v>Mens 501 Dbls</v>
      </c>
      <c r="G184" s="8" t="str">
        <f>IFERROR(__xludf.DUMMYFUNCTION("""COMPUTED_VALUE"""),"2nd")</f>
        <v>2nd</v>
      </c>
      <c r="H184" s="8" t="str">
        <f>IFERROR(__xludf.DUMMYFUNCTION("""COMPUTED_VALUE"""),"BS 38 Finals")</f>
        <v>BS 38 Finals</v>
      </c>
      <c r="I184" s="9">
        <f>IFERROR(__xludf.DUMMYFUNCTION("""COMPUTED_VALUE"""),45444.0)</f>
        <v>45444</v>
      </c>
      <c r="J184" s="9">
        <f>IFERROR(__xludf.DUMMYFUNCTION("""COMPUTED_VALUE"""),46539.0)</f>
        <v>46539</v>
      </c>
      <c r="K184" s="10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7" t="str">
        <f>IFERROR(__xludf.DUMMYFUNCTION("""COMPUTED_VALUE"""),"Gage")</f>
        <v>Gage</v>
      </c>
      <c r="B185" s="8" t="str">
        <f>IFERROR(__xludf.DUMMYFUNCTION("""COMPUTED_VALUE"""),"Glen")</f>
        <v>Glen</v>
      </c>
      <c r="C185" s="8" t="str">
        <f>IFERROR(__xludf.DUMMYFUNCTION("""COMPUTED_VALUE"""),"Diamond")</f>
        <v>Diamond</v>
      </c>
      <c r="D185" s="8" t="str">
        <f>IFERROR(__xludf.DUMMYFUNCTION("""COMPUTED_VALUE"""),"IL")</f>
        <v>IL</v>
      </c>
      <c r="E185" s="8" t="str">
        <f>IFERROR(__xludf.DUMMYFUNCTION("""COMPUTED_VALUE"""),"USA")</f>
        <v>USA</v>
      </c>
      <c r="F185" s="8" t="str">
        <f>IFERROR(__xludf.DUMMYFUNCTION("""COMPUTED_VALUE"""),"Pro AA Doubles Cricket")</f>
        <v>Pro AA Doubles Cricket</v>
      </c>
      <c r="G185" s="8" t="str">
        <f>IFERROR(__xludf.DUMMYFUNCTION("""COMPUTED_VALUE"""),"4th")</f>
        <v>4th</v>
      </c>
      <c r="H185" s="8" t="str">
        <f>IFERROR(__xludf.DUMMYFUNCTION("""COMPUTED_VALUE"""),"Known Ability")</f>
        <v>Known Ability</v>
      </c>
      <c r="I185" s="9">
        <f>IFERROR(__xludf.DUMMYFUNCTION("""COMPUTED_VALUE"""),40695.0)</f>
        <v>40695</v>
      </c>
      <c r="J185" s="9">
        <f>IFERROR(__xludf.DUMMYFUNCTION("""COMPUTED_VALUE"""),47635.0)</f>
        <v>47635</v>
      </c>
      <c r="K185" s="10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0.25" customHeight="1">
      <c r="A186" s="7" t="str">
        <f>IFERROR(__xludf.DUMMYFUNCTION("""COMPUTED_VALUE"""),"GALVAN")</f>
        <v>GALVAN</v>
      </c>
      <c r="B186" s="8" t="str">
        <f>IFERROR(__xludf.DUMMYFUNCTION("""COMPUTED_VALUE"""),"ANDREW")</f>
        <v>ANDREW</v>
      </c>
      <c r="C186" s="8" t="str">
        <f>IFERROR(__xludf.DUMMYFUNCTION("""COMPUTED_VALUE"""),"ROCHESTER")</f>
        <v>ROCHESTER</v>
      </c>
      <c r="D186" s="8" t="str">
        <f>IFERROR(__xludf.DUMMYFUNCTION("""COMPUTED_VALUE"""),"PA")</f>
        <v>PA</v>
      </c>
      <c r="E186" s="8" t="str">
        <f>IFERROR(__xludf.DUMMYFUNCTION("""COMPUTED_VALUE"""),"USA")</f>
        <v>USA</v>
      </c>
      <c r="F186" s="8" t="str">
        <f>IFERROR(__xludf.DUMMYFUNCTION("""COMPUTED_VALUE"""),"MENS DBLS 501")</f>
        <v>MENS DBLS 501</v>
      </c>
      <c r="G186" s="8" t="str">
        <f>IFERROR(__xludf.DUMMYFUNCTION("""COMPUTED_VALUE"""),"3RD")</f>
        <v>3RD</v>
      </c>
      <c r="H186" s="8" t="str">
        <f>IFERROR(__xludf.DUMMYFUNCTION("""COMPUTED_VALUE"""),"BS 36 REGIONAL SC")</f>
        <v>BS 36 REGIONAL SC</v>
      </c>
      <c r="I186" s="9">
        <f>IFERROR(__xludf.DUMMYFUNCTION("""COMPUTED_VALUE"""),44713.0)</f>
        <v>44713</v>
      </c>
      <c r="J186" s="9">
        <f>IFERROR(__xludf.DUMMYFUNCTION("""COMPUTED_VALUE"""),45809.0)</f>
        <v>45809</v>
      </c>
      <c r="K186" s="10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7" t="str">
        <f>IFERROR(__xludf.DUMMYFUNCTION("""COMPUTED_VALUE"""),"GARDNER")</f>
        <v>GARDNER</v>
      </c>
      <c r="B187" s="8" t="str">
        <f>IFERROR(__xludf.DUMMYFUNCTION("""COMPUTED_VALUE"""),"THOMAS")</f>
        <v>THOMAS</v>
      </c>
      <c r="C187" s="8" t="str">
        <f>IFERROR(__xludf.DUMMYFUNCTION("""COMPUTED_VALUE"""),"CATAWISSA")</f>
        <v>CATAWISSA</v>
      </c>
      <c r="D187" s="8" t="str">
        <f>IFERROR(__xludf.DUMMYFUNCTION("""COMPUTED_VALUE"""),"MO")</f>
        <v>MO</v>
      </c>
      <c r="E187" s="8" t="str">
        <f>IFERROR(__xludf.DUMMYFUNCTION("""COMPUTED_VALUE"""),"USA")</f>
        <v>USA</v>
      </c>
      <c r="F187" s="8" t="str">
        <f>IFERROR(__xludf.DUMMYFUNCTION("""COMPUTED_VALUE"""),"MENS DBLS 501")</f>
        <v>MENS DBLS 501</v>
      </c>
      <c r="G187" s="8" t="str">
        <f>IFERROR(__xludf.DUMMYFUNCTION("""COMPUTED_VALUE"""),"3RD")</f>
        <v>3RD</v>
      </c>
      <c r="H187" s="8" t="str">
        <f>IFERROR(__xludf.DUMMYFUNCTION("""COMPUTED_VALUE"""),"BS 36 REGIONAL NE")</f>
        <v>BS 36 REGIONAL NE</v>
      </c>
      <c r="I187" s="9">
        <f>IFERROR(__xludf.DUMMYFUNCTION("""COMPUTED_VALUE"""),44713.0)</f>
        <v>44713</v>
      </c>
      <c r="J187" s="9">
        <f>IFERROR(__xludf.DUMMYFUNCTION("""COMPUTED_VALUE"""),45809.0)</f>
        <v>45809</v>
      </c>
      <c r="K187" s="10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7" t="str">
        <f>IFERROR(__xludf.DUMMYFUNCTION("""COMPUTED_VALUE"""),"Garn")</f>
        <v>Garn</v>
      </c>
      <c r="B188" s="8" t="str">
        <f>IFERROR(__xludf.DUMMYFUNCTION("""COMPUTED_VALUE"""),"Dennis")</f>
        <v>Dennis</v>
      </c>
      <c r="C188" s="8" t="str">
        <f>IFERROR(__xludf.DUMMYFUNCTION("""COMPUTED_VALUE"""),"Jeromesville")</f>
        <v>Jeromesville</v>
      </c>
      <c r="D188" s="8" t="str">
        <f>IFERROR(__xludf.DUMMYFUNCTION("""COMPUTED_VALUE"""),"OH")</f>
        <v>OH</v>
      </c>
      <c r="E188" s="8"/>
      <c r="F188" s="8" t="str">
        <f>IFERROR(__xludf.DUMMYFUNCTION("""COMPUTED_VALUE"""),"Pro 501 Dbls")</f>
        <v>Pro 501 Dbls</v>
      </c>
      <c r="G188" s="8" t="str">
        <f>IFERROR(__xludf.DUMMYFUNCTION("""COMPUTED_VALUE"""),"3rd")</f>
        <v>3rd</v>
      </c>
      <c r="H188" s="8" t="str">
        <f>IFERROR(__xludf.DUMMYFUNCTION("""COMPUTED_VALUE"""),"OH BS 38")</f>
        <v>OH BS 38</v>
      </c>
      <c r="I188" s="9">
        <f>IFERROR(__xludf.DUMMYFUNCTION("""COMPUTED_VALUE"""),45444.0)</f>
        <v>45444</v>
      </c>
      <c r="J188" s="9">
        <f>IFERROR(__xludf.DUMMYFUNCTION("""COMPUTED_VALUE"""),46539.0)</f>
        <v>46539</v>
      </c>
      <c r="K188" s="10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7" t="str">
        <f>IFERROR(__xludf.DUMMYFUNCTION("""COMPUTED_VALUE"""),"GARRELS")</f>
        <v>GARRELS</v>
      </c>
      <c r="B189" s="8" t="str">
        <f>IFERROR(__xludf.DUMMYFUNCTION("""COMPUTED_VALUE"""),"ALEXANDER")</f>
        <v>ALEXANDER</v>
      </c>
      <c r="C189" s="8" t="str">
        <f>IFERROR(__xludf.DUMMYFUNCTION("""COMPUTED_VALUE"""),"BURLINGTON")</f>
        <v>BURLINGTON</v>
      </c>
      <c r="D189" s="8" t="str">
        <f>IFERROR(__xludf.DUMMYFUNCTION("""COMPUTED_VALUE"""),"IL")</f>
        <v>IL</v>
      </c>
      <c r="E189" s="8" t="str">
        <f>IFERROR(__xludf.DUMMYFUNCTION("""COMPUTED_VALUE"""),"USA")</f>
        <v>USA</v>
      </c>
      <c r="F189" s="8" t="str">
        <f>IFERROR(__xludf.DUMMYFUNCTION("""COMPUTED_VALUE"""),"TOP GUN TRIPS")</f>
        <v>TOP GUN TRIPS</v>
      </c>
      <c r="G189" s="8" t="str">
        <f>IFERROR(__xludf.DUMMYFUNCTION("""COMPUTED_VALUE"""),"3RD")</f>
        <v>3RD</v>
      </c>
      <c r="H189" s="8" t="str">
        <f>IFERROR(__xludf.DUMMYFUNCTION("""COMPUTED_VALUE"""),"BULLSHOOTER 36 FINALS")</f>
        <v>BULLSHOOTER 36 FINALS</v>
      </c>
      <c r="I189" s="9">
        <f>IFERROR(__xludf.DUMMYFUNCTION("""COMPUTED_VALUE"""),44713.0)</f>
        <v>44713</v>
      </c>
      <c r="J189" s="9">
        <f>IFERROR(__xludf.DUMMYFUNCTION("""COMPUTED_VALUE"""),45809.0)</f>
        <v>45809</v>
      </c>
      <c r="K189" s="10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7" t="str">
        <f>IFERROR(__xludf.DUMMYFUNCTION("""COMPUTED_VALUE"""),"GARTIN")</f>
        <v>GARTIN</v>
      </c>
      <c r="B190" s="8" t="str">
        <f>IFERROR(__xludf.DUMMYFUNCTION("""COMPUTED_VALUE"""),"JASON")</f>
        <v>JASON</v>
      </c>
      <c r="C190" s="8" t="str">
        <f>IFERROR(__xludf.DUMMYFUNCTION("""COMPUTED_VALUE"""),"FORT DODGE")</f>
        <v>FORT DODGE</v>
      </c>
      <c r="D190" s="8" t="str">
        <f>IFERROR(__xludf.DUMMYFUNCTION("""COMPUTED_VALUE"""),"IA")</f>
        <v>IA</v>
      </c>
      <c r="E190" s="8" t="str">
        <f>IFERROR(__xludf.DUMMYFUNCTION("""COMPUTED_VALUE"""),"USA")</f>
        <v>USA</v>
      </c>
      <c r="F190" s="8" t="str">
        <f>IFERROR(__xludf.DUMMYFUNCTION("""COMPUTED_VALUE"""),"MENS SINGLES CRICKET")</f>
        <v>MENS SINGLES CRICKET</v>
      </c>
      <c r="G190" s="8" t="str">
        <f>IFERROR(__xludf.DUMMYFUNCTION("""COMPUTED_VALUE"""),"1ST")</f>
        <v>1ST</v>
      </c>
      <c r="H190" s="8" t="str">
        <f>IFERROR(__xludf.DUMMYFUNCTION("""COMPUTED_VALUE"""),"BS 36 REGIONAL NE")</f>
        <v>BS 36 REGIONAL NE</v>
      </c>
      <c r="I190" s="9">
        <f>IFERROR(__xludf.DUMMYFUNCTION("""COMPUTED_VALUE"""),44713.0)</f>
        <v>44713</v>
      </c>
      <c r="J190" s="9">
        <f>IFERROR(__xludf.DUMMYFUNCTION("""COMPUTED_VALUE"""),45809.0)</f>
        <v>45809</v>
      </c>
      <c r="K190" s="1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7" t="str">
        <f>IFERROR(__xludf.DUMMYFUNCTION("""COMPUTED_VALUE"""),"Garza")</f>
        <v>Garza</v>
      </c>
      <c r="B191" s="8" t="str">
        <f>IFERROR(__xludf.DUMMYFUNCTION("""COMPUTED_VALUE"""),"Brock")</f>
        <v>Brock</v>
      </c>
      <c r="C191" s="8" t="str">
        <f>IFERROR(__xludf.DUMMYFUNCTION("""COMPUTED_VALUE"""),"Lawton")</f>
        <v>Lawton</v>
      </c>
      <c r="D191" s="8" t="str">
        <f>IFERROR(__xludf.DUMMYFUNCTION("""COMPUTED_VALUE"""),"OK")</f>
        <v>OK</v>
      </c>
      <c r="E191" s="8"/>
      <c r="F191" s="8" t="str">
        <f>IFERROR(__xludf.DUMMYFUNCTION("""COMPUTED_VALUE"""),"Men Cricket Dbls")</f>
        <v>Men Cricket Dbls</v>
      </c>
      <c r="G191" s="8" t="str">
        <f>IFERROR(__xludf.DUMMYFUNCTION("""COMPUTED_VALUE"""),"1st")</f>
        <v>1st</v>
      </c>
      <c r="H191" s="8" t="str">
        <f>IFERROR(__xludf.DUMMYFUNCTION("""COMPUTED_VALUE"""),"TX BS 38")</f>
        <v>TX BS 38</v>
      </c>
      <c r="I191" s="9">
        <f>IFERROR(__xludf.DUMMYFUNCTION("""COMPUTED_VALUE"""),45444.0)</f>
        <v>45444</v>
      </c>
      <c r="J191" s="9">
        <f>IFERROR(__xludf.DUMMYFUNCTION("""COMPUTED_VALUE"""),46539.0)</f>
        <v>46539</v>
      </c>
      <c r="K191" s="1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7" t="str">
        <f>IFERROR(__xludf.DUMMYFUNCTION("""COMPUTED_VALUE"""),"Garza")</f>
        <v>Garza</v>
      </c>
      <c r="B192" s="8" t="str">
        <f>IFERROR(__xludf.DUMMYFUNCTION("""COMPUTED_VALUE"""),"Steve")</f>
        <v>Steve</v>
      </c>
      <c r="C192" s="8" t="str">
        <f>IFERROR(__xludf.DUMMYFUNCTION("""COMPUTED_VALUE"""),"Selma")</f>
        <v>Selma</v>
      </c>
      <c r="D192" s="8" t="str">
        <f>IFERROR(__xludf.DUMMYFUNCTION("""COMPUTED_VALUE"""),"TX")</f>
        <v>TX</v>
      </c>
      <c r="E192" s="8"/>
      <c r="F192" s="8" t="str">
        <f>IFERROR(__xludf.DUMMYFUNCTION("""COMPUTED_VALUE"""),"Men Cricket Dbls")</f>
        <v>Men Cricket Dbls</v>
      </c>
      <c r="G192" s="8" t="str">
        <f>IFERROR(__xludf.DUMMYFUNCTION("""COMPUTED_VALUE"""),"3rd")</f>
        <v>3rd</v>
      </c>
      <c r="H192" s="8" t="str">
        <f>IFERROR(__xludf.DUMMYFUNCTION("""COMPUTED_VALUE"""),"TX BS 38")</f>
        <v>TX BS 38</v>
      </c>
      <c r="I192" s="9">
        <f>IFERROR(__xludf.DUMMYFUNCTION("""COMPUTED_VALUE"""),45444.0)</f>
        <v>45444</v>
      </c>
      <c r="J192" s="9">
        <f>IFERROR(__xludf.DUMMYFUNCTION("""COMPUTED_VALUE"""),46539.0)</f>
        <v>46539</v>
      </c>
      <c r="K192" s="1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7" t="str">
        <f>IFERROR(__xludf.DUMMYFUNCTION("""COMPUTED_VALUE"""),"GARZA")</f>
        <v>GARZA</v>
      </c>
      <c r="B193" s="8" t="str">
        <f>IFERROR(__xludf.DUMMYFUNCTION("""COMPUTED_VALUE"""),"GUADALUPE")</f>
        <v>GUADALUPE</v>
      </c>
      <c r="C193" s="8" t="str">
        <f>IFERROR(__xludf.DUMMYFUNCTION("""COMPUTED_VALUE"""),"SAN ANTONIO")</f>
        <v>SAN ANTONIO</v>
      </c>
      <c r="D193" s="8" t="str">
        <f>IFERROR(__xludf.DUMMYFUNCTION("""COMPUTED_VALUE"""),"TX")</f>
        <v>TX</v>
      </c>
      <c r="E193" s="8" t="str">
        <f>IFERROR(__xludf.DUMMYFUNCTION("""COMPUTED_VALUE"""),"USA")</f>
        <v>USA</v>
      </c>
      <c r="F193" s="8" t="str">
        <f>IFERROR(__xludf.DUMMYFUNCTION("""COMPUTED_VALUE"""),"PRO SINGLES")</f>
        <v>PRO SINGLES</v>
      </c>
      <c r="G193" s="8" t="str">
        <f>IFERROR(__xludf.DUMMYFUNCTION("""COMPUTED_VALUE"""),"3")</f>
        <v>3</v>
      </c>
      <c r="H193" s="8" t="str">
        <f>IFERROR(__xludf.DUMMYFUNCTION("""COMPUTED_VALUE"""),"BS 37 TX")</f>
        <v>BS 37 TX</v>
      </c>
      <c r="I193" s="9">
        <f>IFERROR(__xludf.DUMMYFUNCTION("""COMPUTED_VALUE"""),45078.0)</f>
        <v>45078</v>
      </c>
      <c r="J193" s="9">
        <f>IFERROR(__xludf.DUMMYFUNCTION("""COMPUTED_VALUE"""),46174.0)</f>
        <v>46174</v>
      </c>
      <c r="K193" s="1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7" t="str">
        <f>IFERROR(__xludf.DUMMYFUNCTION("""COMPUTED_VALUE"""),"GARZA")</f>
        <v>GARZA</v>
      </c>
      <c r="B194" s="8" t="str">
        <f>IFERROR(__xludf.DUMMYFUNCTION("""COMPUTED_VALUE"""),"RANDY")</f>
        <v>RANDY</v>
      </c>
      <c r="C194" s="8" t="str">
        <f>IFERROR(__xludf.DUMMYFUNCTION("""COMPUTED_VALUE"""),"HOCKLEY")</f>
        <v>HOCKLEY</v>
      </c>
      <c r="D194" s="8" t="str">
        <f>IFERROR(__xludf.DUMMYFUNCTION("""COMPUTED_VALUE"""),"TX")</f>
        <v>TX</v>
      </c>
      <c r="E194" s="8" t="str">
        <f>IFERROR(__xludf.DUMMYFUNCTION("""COMPUTED_VALUE"""),"USA")</f>
        <v>USA</v>
      </c>
      <c r="F194" s="8" t="str">
        <f>IFERROR(__xludf.DUMMYFUNCTION("""COMPUTED_VALUE"""),"MENS DBLS 501")</f>
        <v>MENS DBLS 501</v>
      </c>
      <c r="G194" s="8" t="str">
        <f>IFERROR(__xludf.DUMMYFUNCTION("""COMPUTED_VALUE"""),"1ST")</f>
        <v>1ST</v>
      </c>
      <c r="H194" s="8" t="str">
        <f>IFERROR(__xludf.DUMMYFUNCTION("""COMPUTED_VALUE"""),"BS 36 REGIONAL AZ")</f>
        <v>BS 36 REGIONAL AZ</v>
      </c>
      <c r="I194" s="9">
        <f>IFERROR(__xludf.DUMMYFUNCTION("""COMPUTED_VALUE"""),44713.0)</f>
        <v>44713</v>
      </c>
      <c r="J194" s="9">
        <f>IFERROR(__xludf.DUMMYFUNCTION("""COMPUTED_VALUE"""),45809.0)</f>
        <v>45809</v>
      </c>
      <c r="K194" s="1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7" t="str">
        <f>IFERROR(__xludf.DUMMYFUNCTION("""COMPUTED_VALUE"""),"Gebo")</f>
        <v>Gebo</v>
      </c>
      <c r="B195" s="8" t="str">
        <f>IFERROR(__xludf.DUMMYFUNCTION("""COMPUTED_VALUE"""),"Shaun")</f>
        <v>Shaun</v>
      </c>
      <c r="C195" s="8" t="str">
        <f>IFERROR(__xludf.DUMMYFUNCTION("""COMPUTED_VALUE"""),"Liverpool")</f>
        <v>Liverpool</v>
      </c>
      <c r="D195" s="8" t="str">
        <f>IFERROR(__xludf.DUMMYFUNCTION("""COMPUTED_VALUE"""),"NY")</f>
        <v>NY</v>
      </c>
      <c r="E195" s="8"/>
      <c r="F195" s="8" t="str">
        <f>IFERROR(__xludf.DUMMYFUNCTION("""COMPUTED_VALUE"""),"Men Cricket Dbls")</f>
        <v>Men Cricket Dbls</v>
      </c>
      <c r="G195" s="8" t="str">
        <f>IFERROR(__xludf.DUMMYFUNCTION("""COMPUTED_VALUE"""),"2nd")</f>
        <v>2nd</v>
      </c>
      <c r="H195" s="8" t="str">
        <f>IFERROR(__xludf.DUMMYFUNCTION("""COMPUTED_VALUE"""),"NY BS 38")</f>
        <v>NY BS 38</v>
      </c>
      <c r="I195" s="9">
        <f>IFERROR(__xludf.DUMMYFUNCTION("""COMPUTED_VALUE"""),45444.0)</f>
        <v>45444</v>
      </c>
      <c r="J195" s="9">
        <f>IFERROR(__xludf.DUMMYFUNCTION("""COMPUTED_VALUE"""),46539.0)</f>
        <v>46539</v>
      </c>
      <c r="K195" s="1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7" t="str">
        <f>IFERROR(__xludf.DUMMYFUNCTION("""COMPUTED_VALUE"""),"George")</f>
        <v>George</v>
      </c>
      <c r="B196" s="8" t="str">
        <f>IFERROR(__xludf.DUMMYFUNCTION("""COMPUTED_VALUE"""),"Marcus")</f>
        <v>Marcus</v>
      </c>
      <c r="C196" s="8" t="str">
        <f>IFERROR(__xludf.DUMMYFUNCTION("""COMPUTED_VALUE"""),"Wheeling")</f>
        <v>Wheeling</v>
      </c>
      <c r="D196" s="8" t="str">
        <f>IFERROR(__xludf.DUMMYFUNCTION("""COMPUTED_VALUE"""),"WV")</f>
        <v>WV</v>
      </c>
      <c r="E196" s="8"/>
      <c r="F196" s="8" t="str">
        <f>IFERROR(__xludf.DUMMYFUNCTION("""COMPUTED_VALUE"""),"Men 501 Dbls")</f>
        <v>Men 501 Dbls</v>
      </c>
      <c r="G196" s="8" t="str">
        <f>IFERROR(__xludf.DUMMYFUNCTION("""COMPUTED_VALUE"""),"3rd")</f>
        <v>3rd</v>
      </c>
      <c r="H196" s="8" t="str">
        <f>IFERROR(__xludf.DUMMYFUNCTION("""COMPUTED_VALUE"""),"NY BS 38")</f>
        <v>NY BS 38</v>
      </c>
      <c r="I196" s="9">
        <f>IFERROR(__xludf.DUMMYFUNCTION("""COMPUTED_VALUE"""),45444.0)</f>
        <v>45444</v>
      </c>
      <c r="J196" s="9">
        <f>IFERROR(__xludf.DUMMYFUNCTION("""COMPUTED_VALUE"""),46539.0)</f>
        <v>46539</v>
      </c>
      <c r="K196" s="1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7" t="str">
        <f>IFERROR(__xludf.DUMMYFUNCTION("""COMPUTED_VALUE"""),"Gervais")</f>
        <v>Gervais</v>
      </c>
      <c r="B197" s="8" t="str">
        <f>IFERROR(__xludf.DUMMYFUNCTION("""COMPUTED_VALUE"""),"Ryan")</f>
        <v>Ryan</v>
      </c>
      <c r="C197" s="8" t="str">
        <f>IFERROR(__xludf.DUMMYFUNCTION("""COMPUTED_VALUE"""),"Superior")</f>
        <v>Superior</v>
      </c>
      <c r="D197" s="8" t="str">
        <f>IFERROR(__xludf.DUMMYFUNCTION("""COMPUTED_VALUE"""),"WI")</f>
        <v>WI</v>
      </c>
      <c r="E197" s="8" t="str">
        <f>IFERROR(__xludf.DUMMYFUNCTION("""COMPUTED_VALUE"""),"USA")</f>
        <v>USA</v>
      </c>
      <c r="F197" s="8" t="str">
        <f>IFERROR(__xludf.DUMMYFUNCTION("""COMPUTED_VALUE"""),"Pro Mixed Cricket")</f>
        <v>Pro Mixed Cricket</v>
      </c>
      <c r="G197" s="8" t="str">
        <f>IFERROR(__xludf.DUMMYFUNCTION("""COMPUTED_VALUE"""),"4th")</f>
        <v>4th</v>
      </c>
      <c r="H197" s="8" t="str">
        <f>IFERROR(__xludf.DUMMYFUNCTION("""COMPUTED_VALUE"""),"BullShooter 34 Finals")</f>
        <v>BullShooter 34 Finals</v>
      </c>
      <c r="I197" s="9">
        <f>IFERROR(__xludf.DUMMYFUNCTION("""COMPUTED_VALUE"""),43617.0)</f>
        <v>43617</v>
      </c>
      <c r="J197" s="9">
        <f>IFERROR(__xludf.DUMMYFUNCTION("""COMPUTED_VALUE"""),45809.0)</f>
        <v>45809</v>
      </c>
      <c r="K197" s="1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7" t="str">
        <f>IFERROR(__xludf.DUMMYFUNCTION("""COMPUTED_VALUE"""),"GETZ")</f>
        <v>GETZ</v>
      </c>
      <c r="B198" s="8" t="str">
        <f>IFERROR(__xludf.DUMMYFUNCTION("""COMPUTED_VALUE"""),"TRAVIS")</f>
        <v>TRAVIS</v>
      </c>
      <c r="C198" s="8" t="str">
        <f>IFERROR(__xludf.DUMMYFUNCTION("""COMPUTED_VALUE"""),"LEWISTOWN")</f>
        <v>LEWISTOWN</v>
      </c>
      <c r="D198" s="8" t="str">
        <f>IFERROR(__xludf.DUMMYFUNCTION("""COMPUTED_VALUE"""),"PA")</f>
        <v>PA</v>
      </c>
      <c r="E198" s="8" t="str">
        <f>IFERROR(__xludf.DUMMYFUNCTION("""COMPUTED_VALUE"""),"USA")</f>
        <v>USA</v>
      </c>
      <c r="F198" s="8" t="str">
        <f>IFERROR(__xludf.DUMMYFUNCTION("""COMPUTED_VALUE"""),"MIXED 701 TRIPLES")</f>
        <v>MIXED 701 TRIPLES</v>
      </c>
      <c r="G198" s="8" t="str">
        <f>IFERROR(__xludf.DUMMYFUNCTION("""COMPUTED_VALUE"""),"1")</f>
        <v>1</v>
      </c>
      <c r="H198" s="8" t="str">
        <f>IFERROR(__xludf.DUMMYFUNCTION("""COMPUTED_VALUE"""),"BS 37 PA")</f>
        <v>BS 37 PA</v>
      </c>
      <c r="I198" s="9">
        <f>IFERROR(__xludf.DUMMYFUNCTION("""COMPUTED_VALUE"""),45078.0)</f>
        <v>45078</v>
      </c>
      <c r="J198" s="9">
        <f>IFERROR(__xludf.DUMMYFUNCTION("""COMPUTED_VALUE"""),46174.0)</f>
        <v>46174</v>
      </c>
      <c r="K198" s="1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7" t="str">
        <f>IFERROR(__xludf.DUMMYFUNCTION("""COMPUTED_VALUE"""),"GIL")</f>
        <v>GIL</v>
      </c>
      <c r="B199" s="8" t="str">
        <f>IFERROR(__xludf.DUMMYFUNCTION("""COMPUTED_VALUE"""),"CHRISTOPHER")</f>
        <v>CHRISTOPHER</v>
      </c>
      <c r="C199" s="8" t="str">
        <f>IFERROR(__xludf.DUMMYFUNCTION("""COMPUTED_VALUE"""),"SAN ANTONIO")</f>
        <v>SAN ANTONIO</v>
      </c>
      <c r="D199" s="8" t="str">
        <f>IFERROR(__xludf.DUMMYFUNCTION("""COMPUTED_VALUE"""),"TX")</f>
        <v>TX</v>
      </c>
      <c r="E199" s="8" t="str">
        <f>IFERROR(__xludf.DUMMYFUNCTION("""COMPUTED_VALUE"""),"USA")</f>
        <v>USA</v>
      </c>
      <c r="F199" s="8" t="str">
        <f>IFERROR(__xludf.DUMMYFUNCTION("""COMPUTED_VALUE"""),"MEN SINGLES")</f>
        <v>MEN SINGLES</v>
      </c>
      <c r="G199" s="8" t="str">
        <f>IFERROR(__xludf.DUMMYFUNCTION("""COMPUTED_VALUE"""),"3")</f>
        <v>3</v>
      </c>
      <c r="H199" s="8" t="str">
        <f>IFERROR(__xludf.DUMMYFUNCTION("""COMPUTED_VALUE"""),"BS 37 NE")</f>
        <v>BS 37 NE</v>
      </c>
      <c r="I199" s="9">
        <f>IFERROR(__xludf.DUMMYFUNCTION("""COMPUTED_VALUE"""),45078.0)</f>
        <v>45078</v>
      </c>
      <c r="J199" s="9">
        <f>IFERROR(__xludf.DUMMYFUNCTION("""COMPUTED_VALUE"""),46174.0)</f>
        <v>46174</v>
      </c>
      <c r="K199" s="1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7" t="str">
        <f>IFERROR(__xludf.DUMMYFUNCTION("""COMPUTED_VALUE"""),"Gilreath")</f>
        <v>Gilreath</v>
      </c>
      <c r="B200" s="8" t="str">
        <f>IFERROR(__xludf.DUMMYFUNCTION("""COMPUTED_VALUE"""),"Lee")</f>
        <v>Lee</v>
      </c>
      <c r="C200" s="8" t="str">
        <f>IFERROR(__xludf.DUMMYFUNCTION("""COMPUTED_VALUE"""),"Rockmart")</f>
        <v>Rockmart</v>
      </c>
      <c r="D200" s="8" t="str">
        <f>IFERROR(__xludf.DUMMYFUNCTION("""COMPUTED_VALUE"""),"GA")</f>
        <v>GA</v>
      </c>
      <c r="E200" s="8" t="str">
        <f>IFERROR(__xludf.DUMMYFUNCTION("""COMPUTED_VALUE"""),"USA")</f>
        <v>USA</v>
      </c>
      <c r="F200" s="8" t="str">
        <f>IFERROR(__xludf.DUMMYFUNCTION("""COMPUTED_VALUE"""),"Pro 501 Doubles")</f>
        <v>Pro 501 Doubles</v>
      </c>
      <c r="G200" s="8" t="str">
        <f>IFERROR(__xludf.DUMMYFUNCTION("""COMPUTED_VALUE"""),"3rd")</f>
        <v>3rd</v>
      </c>
      <c r="H200" s="8" t="str">
        <f>IFERROR(__xludf.DUMMYFUNCTION("""COMPUTED_VALUE"""),"BullShooter 34 Finals")</f>
        <v>BullShooter 34 Finals</v>
      </c>
      <c r="I200" s="9">
        <f>IFERROR(__xludf.DUMMYFUNCTION("""COMPUTED_VALUE"""),43617.0)</f>
        <v>43617</v>
      </c>
      <c r="J200" s="9">
        <f>IFERROR(__xludf.DUMMYFUNCTION("""COMPUTED_VALUE"""),45809.0)</f>
        <v>45809</v>
      </c>
      <c r="K200" s="1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7" t="str">
        <f>IFERROR(__xludf.DUMMYFUNCTION("""COMPUTED_VALUE"""),"GIORDANO")</f>
        <v>GIORDANO</v>
      </c>
      <c r="B201" s="8" t="str">
        <f>IFERROR(__xludf.DUMMYFUNCTION("""COMPUTED_VALUE"""),"JOE")</f>
        <v>JOE</v>
      </c>
      <c r="C201" s="8" t="str">
        <f>IFERROR(__xludf.DUMMYFUNCTION("""COMPUTED_VALUE"""),"MYRTLE BEACH")</f>
        <v>MYRTLE BEACH</v>
      </c>
      <c r="D201" s="8" t="str">
        <f>IFERROR(__xludf.DUMMYFUNCTION("""COMPUTED_VALUE"""),"SC")</f>
        <v>SC</v>
      </c>
      <c r="E201" s="8" t="str">
        <f>IFERROR(__xludf.DUMMYFUNCTION("""COMPUTED_VALUE"""),"USA")</f>
        <v>USA</v>
      </c>
      <c r="F201" s="8" t="str">
        <f>IFERROR(__xludf.DUMMYFUNCTION("""COMPUTED_VALUE"""),"PRO/AM CRICKET")</f>
        <v>PRO/AM CRICKET</v>
      </c>
      <c r="G201" s="8" t="str">
        <f>IFERROR(__xludf.DUMMYFUNCTION("""COMPUTED_VALUE"""),"3RD")</f>
        <v>3RD</v>
      </c>
      <c r="H201" s="8" t="str">
        <f>IFERROR(__xludf.DUMMYFUNCTION("""COMPUTED_VALUE"""),"BS 36 REGIONAL SC")</f>
        <v>BS 36 REGIONAL SC</v>
      </c>
      <c r="I201" s="9">
        <f>IFERROR(__xludf.DUMMYFUNCTION("""COMPUTED_VALUE"""),44713.0)</f>
        <v>44713</v>
      </c>
      <c r="J201" s="9">
        <f>IFERROR(__xludf.DUMMYFUNCTION("""COMPUTED_VALUE"""),45809.0)</f>
        <v>45809</v>
      </c>
      <c r="K201" s="1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7" t="str">
        <f>IFERROR(__xludf.DUMMYFUNCTION("""COMPUTED_VALUE"""),"GLANT")</f>
        <v>GLANT</v>
      </c>
      <c r="B202" s="8" t="str">
        <f>IFERROR(__xludf.DUMMYFUNCTION("""COMPUTED_VALUE"""),"JACOB")</f>
        <v>JACOB</v>
      </c>
      <c r="C202" s="8" t="str">
        <f>IFERROR(__xludf.DUMMYFUNCTION("""COMPUTED_VALUE"""),"JUNCTION CITY")</f>
        <v>JUNCTION CITY</v>
      </c>
      <c r="D202" s="8" t="str">
        <f>IFERROR(__xludf.DUMMYFUNCTION("""COMPUTED_VALUE"""),"KS")</f>
        <v>KS</v>
      </c>
      <c r="E202" s="8" t="str">
        <f>IFERROR(__xludf.DUMMYFUNCTION("""COMPUTED_VALUE"""),"USA")</f>
        <v>USA</v>
      </c>
      <c r="F202" s="8" t="str">
        <f>IFERROR(__xludf.DUMMYFUNCTION("""COMPUTED_VALUE"""),"MENS DBLS CRICKET")</f>
        <v>MENS DBLS CRICKET</v>
      </c>
      <c r="G202" s="8" t="str">
        <f>IFERROR(__xludf.DUMMYFUNCTION("""COMPUTED_VALUE"""),"2ND")</f>
        <v>2ND</v>
      </c>
      <c r="H202" s="8" t="str">
        <f>IFERROR(__xludf.DUMMYFUNCTION("""COMPUTED_VALUE"""),"BS 36 REGIONAL NE")</f>
        <v>BS 36 REGIONAL NE</v>
      </c>
      <c r="I202" s="9">
        <f>IFERROR(__xludf.DUMMYFUNCTION("""COMPUTED_VALUE"""),44713.0)</f>
        <v>44713</v>
      </c>
      <c r="J202" s="9">
        <f>IFERROR(__xludf.DUMMYFUNCTION("""COMPUTED_VALUE"""),45809.0)</f>
        <v>45809</v>
      </c>
      <c r="K202" s="1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7" t="str">
        <f>IFERROR(__xludf.DUMMYFUNCTION("""COMPUTED_VALUE"""),"Goblet")</f>
        <v>Goblet</v>
      </c>
      <c r="B203" s="8" t="str">
        <f>IFERROR(__xludf.DUMMYFUNCTION("""COMPUTED_VALUE"""),"Samuel")</f>
        <v>Samuel</v>
      </c>
      <c r="C203" s="8"/>
      <c r="D203" s="8" t="str">
        <f>IFERROR(__xludf.DUMMYFUNCTION("""COMPUTED_VALUE"""),"UNK")</f>
        <v>UNK</v>
      </c>
      <c r="E203" s="8" t="str">
        <f>IFERROR(__xludf.DUMMYFUNCTION("""COMPUTED_VALUE"""),"Belgium")</f>
        <v>Belgium</v>
      </c>
      <c r="F203" s="8" t="str">
        <f>IFERROR(__xludf.DUMMYFUNCTION("""COMPUTED_VALUE"""),"Known Pro")</f>
        <v>Known Pro</v>
      </c>
      <c r="G203" s="8"/>
      <c r="H203" s="8" t="str">
        <f>IFERROR(__xludf.DUMMYFUNCTION("""COMPUTED_VALUE"""),"Known Ability")</f>
        <v>Known Ability</v>
      </c>
      <c r="I203" s="9">
        <f>IFERROR(__xludf.DUMMYFUNCTION("""COMPUTED_VALUE"""),36892.0)</f>
        <v>36892</v>
      </c>
      <c r="J203" s="9">
        <f>IFERROR(__xludf.DUMMYFUNCTION("""COMPUTED_VALUE"""),47635.0)</f>
        <v>47635</v>
      </c>
      <c r="K203" s="1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7" t="str">
        <f>IFERROR(__xludf.DUMMYFUNCTION("""COMPUTED_VALUE"""),"GODEK")</f>
        <v>GODEK</v>
      </c>
      <c r="B204" s="8" t="str">
        <f>IFERROR(__xludf.DUMMYFUNCTION("""COMPUTED_VALUE"""),"JASON")</f>
        <v>JASON</v>
      </c>
      <c r="C204" s="8" t="str">
        <f>IFERROR(__xludf.DUMMYFUNCTION("""COMPUTED_VALUE"""),"WEST MIFFLIN")</f>
        <v>WEST MIFFLIN</v>
      </c>
      <c r="D204" s="8" t="str">
        <f>IFERROR(__xludf.DUMMYFUNCTION("""COMPUTED_VALUE"""),"PA")</f>
        <v>PA</v>
      </c>
      <c r="E204" s="8" t="str">
        <f>IFERROR(__xludf.DUMMYFUNCTION("""COMPUTED_VALUE"""),"USA")</f>
        <v>USA</v>
      </c>
      <c r="F204" s="8" t="str">
        <f>IFERROR(__xludf.DUMMYFUNCTION("""COMPUTED_VALUE"""),"MEN CRICKET DBLS")</f>
        <v>MEN CRICKET DBLS</v>
      </c>
      <c r="G204" s="8" t="str">
        <f>IFERROR(__xludf.DUMMYFUNCTION("""COMPUTED_VALUE"""),"2")</f>
        <v>2</v>
      </c>
      <c r="H204" s="8" t="str">
        <f>IFERROR(__xludf.DUMMYFUNCTION("""COMPUTED_VALUE"""),"BS 37 NY")</f>
        <v>BS 37 NY</v>
      </c>
      <c r="I204" s="9">
        <f>IFERROR(__xludf.DUMMYFUNCTION("""COMPUTED_VALUE"""),45078.0)</f>
        <v>45078</v>
      </c>
      <c r="J204" s="9">
        <f>IFERROR(__xludf.DUMMYFUNCTION("""COMPUTED_VALUE"""),46174.0)</f>
        <v>46174</v>
      </c>
      <c r="K204" s="1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7" t="str">
        <f>IFERROR(__xludf.DUMMYFUNCTION("""COMPUTED_VALUE"""),"GOESSL")</f>
        <v>GOESSL</v>
      </c>
      <c r="B205" s="8" t="str">
        <f>IFERROR(__xludf.DUMMYFUNCTION("""COMPUTED_VALUE"""),"KENNETH")</f>
        <v>KENNETH</v>
      </c>
      <c r="C205" s="8" t="str">
        <f>IFERROR(__xludf.DUMMYFUNCTION("""COMPUTED_VALUE"""),"NORTH SYRACUSE")</f>
        <v>NORTH SYRACUSE</v>
      </c>
      <c r="D205" s="8" t="str">
        <f>IFERROR(__xludf.DUMMYFUNCTION("""COMPUTED_VALUE"""),"NY")</f>
        <v>NY</v>
      </c>
      <c r="E205" s="8" t="str">
        <f>IFERROR(__xludf.DUMMYFUNCTION("""COMPUTED_VALUE"""),"USA")</f>
        <v>USA</v>
      </c>
      <c r="F205" s="8" t="str">
        <f>IFERROR(__xludf.DUMMYFUNCTION("""COMPUTED_VALUE"""),"MENS DBLS 501")</f>
        <v>MENS DBLS 501</v>
      </c>
      <c r="G205" s="8" t="str">
        <f>IFERROR(__xludf.DUMMYFUNCTION("""COMPUTED_VALUE"""),"2ND")</f>
        <v>2ND</v>
      </c>
      <c r="H205" s="8" t="str">
        <f>IFERROR(__xludf.DUMMYFUNCTION("""COMPUTED_VALUE"""),"BS 36 REGIONAL NY")</f>
        <v>BS 36 REGIONAL NY</v>
      </c>
      <c r="I205" s="9">
        <f>IFERROR(__xludf.DUMMYFUNCTION("""COMPUTED_VALUE"""),44713.0)</f>
        <v>44713</v>
      </c>
      <c r="J205" s="9">
        <f>IFERROR(__xludf.DUMMYFUNCTION("""COMPUTED_VALUE"""),45809.0)</f>
        <v>45809</v>
      </c>
      <c r="K205" s="1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7" t="str">
        <f>IFERROR(__xludf.DUMMYFUNCTION("""COMPUTED_VALUE"""),"GONZALEZ")</f>
        <v>GONZALEZ</v>
      </c>
      <c r="B206" s="8" t="str">
        <f>IFERROR(__xludf.DUMMYFUNCTION("""COMPUTED_VALUE"""),"KEVIN")</f>
        <v>KEVIN</v>
      </c>
      <c r="C206" s="8" t="str">
        <f>IFERROR(__xludf.DUMMYFUNCTION("""COMPUTED_VALUE"""),"PITTSBURGH")</f>
        <v>PITTSBURGH</v>
      </c>
      <c r="D206" s="8" t="str">
        <f>IFERROR(__xludf.DUMMYFUNCTION("""COMPUTED_VALUE"""),"PA")</f>
        <v>PA</v>
      </c>
      <c r="E206" s="8" t="str">
        <f>IFERROR(__xludf.DUMMYFUNCTION("""COMPUTED_VALUE"""),"USA")</f>
        <v>USA</v>
      </c>
      <c r="F206" s="8" t="str">
        <f>IFERROR(__xludf.DUMMYFUNCTION("""COMPUTED_VALUE"""),"MENS SINGLES CRICKET")</f>
        <v>MENS SINGLES CRICKET</v>
      </c>
      <c r="G206" s="8" t="str">
        <f>IFERROR(__xludf.DUMMYFUNCTION("""COMPUTED_VALUE"""),"2ND")</f>
        <v>2ND</v>
      </c>
      <c r="H206" s="8" t="str">
        <f>IFERROR(__xludf.DUMMYFUNCTION("""COMPUTED_VALUE"""),"BS 36 REGIONAL NY")</f>
        <v>BS 36 REGIONAL NY</v>
      </c>
      <c r="I206" s="9">
        <f>IFERROR(__xludf.DUMMYFUNCTION("""COMPUTED_VALUE"""),44713.0)</f>
        <v>44713</v>
      </c>
      <c r="J206" s="9">
        <f>IFERROR(__xludf.DUMMYFUNCTION("""COMPUTED_VALUE"""),45809.0)</f>
        <v>45809</v>
      </c>
      <c r="K206" s="1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7" t="str">
        <f>IFERROR(__xludf.DUMMYFUNCTION("""COMPUTED_VALUE"""),"Goodman")</f>
        <v>Goodman</v>
      </c>
      <c r="B207" s="8" t="str">
        <f>IFERROR(__xludf.DUMMYFUNCTION("""COMPUTED_VALUE"""),"Karl")</f>
        <v>Karl</v>
      </c>
      <c r="C207" s="8" t="str">
        <f>IFERROR(__xludf.DUMMYFUNCTION("""COMPUTED_VALUE"""),"Anthem")</f>
        <v>Anthem</v>
      </c>
      <c r="D207" s="8" t="str">
        <f>IFERROR(__xludf.DUMMYFUNCTION("""COMPUTED_VALUE"""),"AZ")</f>
        <v>AZ</v>
      </c>
      <c r="E207" s="8"/>
      <c r="F207" s="8" t="str">
        <f>IFERROR(__xludf.DUMMYFUNCTION("""COMPUTED_VALUE"""),"Men Singles")</f>
        <v>Men Singles</v>
      </c>
      <c r="G207" s="8" t="str">
        <f>IFERROR(__xludf.DUMMYFUNCTION("""COMPUTED_VALUE"""),"3rd")</f>
        <v>3rd</v>
      </c>
      <c r="H207" s="8" t="str">
        <f>IFERROR(__xludf.DUMMYFUNCTION("""COMPUTED_VALUE"""),"AZ BS 38")</f>
        <v>AZ BS 38</v>
      </c>
      <c r="I207" s="9">
        <f>IFERROR(__xludf.DUMMYFUNCTION("""COMPUTED_VALUE"""),45444.0)</f>
        <v>45444</v>
      </c>
      <c r="J207" s="9">
        <f>IFERROR(__xludf.DUMMYFUNCTION("""COMPUTED_VALUE"""),46539.0)</f>
        <v>46539</v>
      </c>
      <c r="K207" s="1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7" t="str">
        <f>IFERROR(__xludf.DUMMYFUNCTION("""COMPUTED_VALUE"""),"Gore")</f>
        <v>Gore</v>
      </c>
      <c r="B208" s="8" t="str">
        <f>IFERROR(__xludf.DUMMYFUNCTION("""COMPUTED_VALUE"""),"Jesse")</f>
        <v>Jesse</v>
      </c>
      <c r="C208" s="8" t="str">
        <f>IFERROR(__xludf.DUMMYFUNCTION("""COMPUTED_VALUE"""),"Lakeland")</f>
        <v>Lakeland</v>
      </c>
      <c r="D208" s="8" t="str">
        <f>IFERROR(__xludf.DUMMYFUNCTION("""COMPUTED_VALUE"""),"FL")</f>
        <v>FL</v>
      </c>
      <c r="E208" s="8"/>
      <c r="F208" s="8" t="str">
        <f>IFERROR(__xludf.DUMMYFUNCTION("""COMPUTED_VALUE"""),"Pro 501 Dbls")</f>
        <v>Pro 501 Dbls</v>
      </c>
      <c r="G208" s="8" t="str">
        <f>IFERROR(__xludf.DUMMYFUNCTION("""COMPUTED_VALUE"""),"2nd")</f>
        <v>2nd</v>
      </c>
      <c r="H208" s="8" t="str">
        <f>IFERROR(__xludf.DUMMYFUNCTION("""COMPUTED_VALUE"""),"FL BS 38")</f>
        <v>FL BS 38</v>
      </c>
      <c r="I208" s="9">
        <f>IFERROR(__xludf.DUMMYFUNCTION("""COMPUTED_VALUE"""),45444.0)</f>
        <v>45444</v>
      </c>
      <c r="J208" s="9">
        <f>IFERROR(__xludf.DUMMYFUNCTION("""COMPUTED_VALUE"""),46539.0)</f>
        <v>46539</v>
      </c>
      <c r="K208" s="1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7" t="str">
        <f>IFERROR(__xludf.DUMMYFUNCTION("""COMPUTED_VALUE"""),"GOTT")</f>
        <v>GOTT</v>
      </c>
      <c r="B209" s="8" t="str">
        <f>IFERROR(__xludf.DUMMYFUNCTION("""COMPUTED_VALUE"""),"DAVID")</f>
        <v>DAVID</v>
      </c>
      <c r="C209" s="8" t="str">
        <f>IFERROR(__xludf.DUMMYFUNCTION("""COMPUTED_VALUE"""),"PHOENIX")</f>
        <v>PHOENIX</v>
      </c>
      <c r="D209" s="8" t="str">
        <f>IFERROR(__xludf.DUMMYFUNCTION("""COMPUTED_VALUE"""),"AZ")</f>
        <v>AZ</v>
      </c>
      <c r="E209" s="8" t="str">
        <f>IFERROR(__xludf.DUMMYFUNCTION("""COMPUTED_VALUE"""),"USA")</f>
        <v>USA</v>
      </c>
      <c r="F209" s="8" t="str">
        <f>IFERROR(__xludf.DUMMYFUNCTION("""COMPUTED_VALUE"""),"MENS SINGLES CRICKET")</f>
        <v>MENS SINGLES CRICKET</v>
      </c>
      <c r="G209" s="8" t="str">
        <f>IFERROR(__xludf.DUMMYFUNCTION("""COMPUTED_VALUE"""),"3RD")</f>
        <v>3RD</v>
      </c>
      <c r="H209" s="8" t="str">
        <f>IFERROR(__xludf.DUMMYFUNCTION("""COMPUTED_VALUE"""),"BS 36 REGIONAL AZ")</f>
        <v>BS 36 REGIONAL AZ</v>
      </c>
      <c r="I209" s="9">
        <f>IFERROR(__xludf.DUMMYFUNCTION("""COMPUTED_VALUE"""),44713.0)</f>
        <v>44713</v>
      </c>
      <c r="J209" s="9">
        <f>IFERROR(__xludf.DUMMYFUNCTION("""COMPUTED_VALUE"""),45809.0)</f>
        <v>45809</v>
      </c>
      <c r="K209" s="10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7" t="str">
        <f>IFERROR(__xludf.DUMMYFUNCTION("""COMPUTED_VALUE"""),"GRAHM")</f>
        <v>GRAHM</v>
      </c>
      <c r="B210" s="8" t="str">
        <f>IFERROR(__xludf.DUMMYFUNCTION("""COMPUTED_VALUE"""),"JACOB")</f>
        <v>JACOB</v>
      </c>
      <c r="C210" s="8" t="str">
        <f>IFERROR(__xludf.DUMMYFUNCTION("""COMPUTED_VALUE"""),"CADIZ")</f>
        <v>CADIZ</v>
      </c>
      <c r="D210" s="8" t="str">
        <f>IFERROR(__xludf.DUMMYFUNCTION("""COMPUTED_VALUE"""),"OH")</f>
        <v>OH</v>
      </c>
      <c r="E210" s="8" t="str">
        <f>IFERROR(__xludf.DUMMYFUNCTION("""COMPUTED_VALUE"""),"USA")</f>
        <v>USA</v>
      </c>
      <c r="F210" s="8" t="str">
        <f>IFERROR(__xludf.DUMMYFUNCTION("""COMPUTED_VALUE"""),"MEN 501 DBLS")</f>
        <v>MEN 501 DBLS</v>
      </c>
      <c r="G210" s="8" t="str">
        <f>IFERROR(__xludf.DUMMYFUNCTION("""COMPUTED_VALUE"""),"3")</f>
        <v>3</v>
      </c>
      <c r="H210" s="8" t="str">
        <f>IFERROR(__xludf.DUMMYFUNCTION("""COMPUTED_VALUE"""),"BS 37 PA")</f>
        <v>BS 37 PA</v>
      </c>
      <c r="I210" s="9">
        <f>IFERROR(__xludf.DUMMYFUNCTION("""COMPUTED_VALUE"""),45078.0)</f>
        <v>45078</v>
      </c>
      <c r="J210" s="9">
        <f>IFERROR(__xludf.DUMMYFUNCTION("""COMPUTED_VALUE"""),46174.0)</f>
        <v>46174</v>
      </c>
      <c r="K210" s="10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7" t="str">
        <f>IFERROR(__xludf.DUMMYFUNCTION("""COMPUTED_VALUE"""),"Gray")</f>
        <v>Gray</v>
      </c>
      <c r="B211" s="8" t="str">
        <f>IFERROR(__xludf.DUMMYFUNCTION("""COMPUTED_VALUE"""),"John")</f>
        <v>John</v>
      </c>
      <c r="C211" s="8" t="str">
        <f>IFERROR(__xludf.DUMMYFUNCTION("""COMPUTED_VALUE"""),"Phoenix")</f>
        <v>Phoenix</v>
      </c>
      <c r="D211" s="8" t="str">
        <f>IFERROR(__xludf.DUMMYFUNCTION("""COMPUTED_VALUE"""),"AZ")</f>
        <v>AZ</v>
      </c>
      <c r="E211" s="8" t="str">
        <f>IFERROR(__xludf.DUMMYFUNCTION("""COMPUTED_VALUE"""),"USA")</f>
        <v>USA</v>
      </c>
      <c r="F211" s="8" t="str">
        <f>IFERROR(__xludf.DUMMYFUNCTION("""COMPUTED_VALUE"""),"Known Pro")</f>
        <v>Known Pro</v>
      </c>
      <c r="G211" s="8"/>
      <c r="H211" s="8" t="str">
        <f>IFERROR(__xludf.DUMMYFUNCTION("""COMPUTED_VALUE"""),"Known Ability")</f>
        <v>Known Ability</v>
      </c>
      <c r="I211" s="9">
        <f>IFERROR(__xludf.DUMMYFUNCTION("""COMPUTED_VALUE"""),36892.0)</f>
        <v>36892</v>
      </c>
      <c r="J211" s="9">
        <f>IFERROR(__xludf.DUMMYFUNCTION("""COMPUTED_VALUE"""),47635.0)</f>
        <v>47635</v>
      </c>
      <c r="K211" s="10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7" t="str">
        <f>IFERROR(__xludf.DUMMYFUNCTION("""COMPUTED_VALUE"""),"Green")</f>
        <v>Green</v>
      </c>
      <c r="B212" s="8" t="str">
        <f>IFERROR(__xludf.DUMMYFUNCTION("""COMPUTED_VALUE"""),"Richard")</f>
        <v>Richard</v>
      </c>
      <c r="C212" s="8" t="str">
        <f>IFERROR(__xludf.DUMMYFUNCTION("""COMPUTED_VALUE"""),"Englewood")</f>
        <v>Englewood</v>
      </c>
      <c r="D212" s="8" t="str">
        <f>IFERROR(__xludf.DUMMYFUNCTION("""COMPUTED_VALUE"""),"FL")</f>
        <v>FL</v>
      </c>
      <c r="E212" s="8"/>
      <c r="F212" s="8" t="str">
        <f>IFERROR(__xludf.DUMMYFUNCTION("""COMPUTED_VALUE"""),"Men 501 Dbls")</f>
        <v>Men 501 Dbls</v>
      </c>
      <c r="G212" s="8" t="str">
        <f>IFERROR(__xludf.DUMMYFUNCTION("""COMPUTED_VALUE"""),"2nd")</f>
        <v>2nd</v>
      </c>
      <c r="H212" s="8" t="str">
        <f>IFERROR(__xludf.DUMMYFUNCTION("""COMPUTED_VALUE"""),"FL BS 38")</f>
        <v>FL BS 38</v>
      </c>
      <c r="I212" s="9">
        <f>IFERROR(__xludf.DUMMYFUNCTION("""COMPUTED_VALUE"""),45444.0)</f>
        <v>45444</v>
      </c>
      <c r="J212" s="9">
        <f>IFERROR(__xludf.DUMMYFUNCTION("""COMPUTED_VALUE"""),46539.0)</f>
        <v>46539</v>
      </c>
      <c r="K212" s="10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7" t="str">
        <f>IFERROR(__xludf.DUMMYFUNCTION("""COMPUTED_VALUE"""),"Green")</f>
        <v>Green</v>
      </c>
      <c r="B213" s="8" t="str">
        <f>IFERROR(__xludf.DUMMYFUNCTION("""COMPUTED_VALUE"""),"Isaac")</f>
        <v>Isaac</v>
      </c>
      <c r="C213" s="8" t="str">
        <f>IFERROR(__xludf.DUMMYFUNCTION("""COMPUTED_VALUE"""),"Chula Vista")</f>
        <v>Chula Vista</v>
      </c>
      <c r="D213" s="8" t="str">
        <f>IFERROR(__xludf.DUMMYFUNCTION("""COMPUTED_VALUE"""),"CA")</f>
        <v>CA</v>
      </c>
      <c r="E213" s="8"/>
      <c r="F213" s="8" t="str">
        <f>IFERROR(__xludf.DUMMYFUNCTION("""COMPUTED_VALUE"""),"Men Singles")</f>
        <v>Men Singles</v>
      </c>
      <c r="G213" s="8" t="str">
        <f>IFERROR(__xludf.DUMMYFUNCTION("""COMPUTED_VALUE"""),"2nd")</f>
        <v>2nd</v>
      </c>
      <c r="H213" s="8" t="str">
        <f>IFERROR(__xludf.DUMMYFUNCTION("""COMPUTED_VALUE"""),"AZ BS 38")</f>
        <v>AZ BS 38</v>
      </c>
      <c r="I213" s="9">
        <f>IFERROR(__xludf.DUMMYFUNCTION("""COMPUTED_VALUE"""),45444.0)</f>
        <v>45444</v>
      </c>
      <c r="J213" s="9">
        <f>IFERROR(__xludf.DUMMYFUNCTION("""COMPUTED_VALUE"""),46539.0)</f>
        <v>46539</v>
      </c>
      <c r="K213" s="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7" t="str">
        <f>IFERROR(__xludf.DUMMYFUNCTION("""COMPUTED_VALUE"""),"Green")</f>
        <v>Green</v>
      </c>
      <c r="B214" s="8" t="str">
        <f>IFERROR(__xludf.DUMMYFUNCTION("""COMPUTED_VALUE"""),"Dave")</f>
        <v>Dave</v>
      </c>
      <c r="C214" s="8"/>
      <c r="D214" s="8"/>
      <c r="E214" s="8" t="str">
        <f>IFERROR(__xludf.DUMMYFUNCTION("""COMPUTED_VALUE"""),"USA")</f>
        <v>USA</v>
      </c>
      <c r="F214" s="8"/>
      <c r="G214" s="8"/>
      <c r="H214" s="8" t="str">
        <f>IFERROR(__xludf.DUMMYFUNCTION("""COMPUTED_VALUE"""),"ADO Top 25 2020")</f>
        <v>ADO Top 25 2020</v>
      </c>
      <c r="I214" s="9">
        <f>IFERROR(__xludf.DUMMYFUNCTION("""COMPUTED_VALUE"""),44348.0)</f>
        <v>44348</v>
      </c>
      <c r="J214" s="9">
        <f>IFERROR(__xludf.DUMMYFUNCTION("""COMPUTED_VALUE"""),46539.0)</f>
        <v>46539</v>
      </c>
      <c r="K214" s="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7" t="str">
        <f>IFERROR(__xludf.DUMMYFUNCTION("""COMPUTED_VALUE"""),"GREGG")</f>
        <v>GREGG</v>
      </c>
      <c r="B215" s="8" t="str">
        <f>IFERROR(__xludf.DUMMYFUNCTION("""COMPUTED_VALUE"""),"SHAWN")</f>
        <v>SHAWN</v>
      </c>
      <c r="C215" s="8" t="str">
        <f>IFERROR(__xludf.DUMMYFUNCTION("""COMPUTED_VALUE"""),"COUER D' LANE")</f>
        <v>COUER D' LANE</v>
      </c>
      <c r="D215" s="8" t="str">
        <f>IFERROR(__xludf.DUMMYFUNCTION("""COMPUTED_VALUE"""),"ID")</f>
        <v>ID</v>
      </c>
      <c r="E215" s="8" t="str">
        <f>IFERROR(__xludf.DUMMYFUNCTION("""COMPUTED_VALUE"""),"USA")</f>
        <v>USA</v>
      </c>
      <c r="F215" s="8" t="str">
        <f>IFERROR(__xludf.DUMMYFUNCTION("""COMPUTED_VALUE"""),"MIXED DBLS CRICKET")</f>
        <v>MIXED DBLS CRICKET</v>
      </c>
      <c r="G215" s="8" t="str">
        <f>IFERROR(__xludf.DUMMYFUNCTION("""COMPUTED_VALUE"""),"3RD")</f>
        <v>3RD</v>
      </c>
      <c r="H215" s="8" t="str">
        <f>IFERROR(__xludf.DUMMYFUNCTION("""COMPUTED_VALUE"""),"BULLSHOOTER 36 FINALS")</f>
        <v>BULLSHOOTER 36 FINALS</v>
      </c>
      <c r="I215" s="9">
        <f>IFERROR(__xludf.DUMMYFUNCTION("""COMPUTED_VALUE"""),44713.0)</f>
        <v>44713</v>
      </c>
      <c r="J215" s="9">
        <f>IFERROR(__xludf.DUMMYFUNCTION("""COMPUTED_VALUE"""),45809.0)</f>
        <v>45809</v>
      </c>
      <c r="K215" s="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7" t="str">
        <f>IFERROR(__xludf.DUMMYFUNCTION("""COMPUTED_VALUE"""),"GREGG")</f>
        <v>GREGG</v>
      </c>
      <c r="B216" s="8" t="str">
        <f>IFERROR(__xludf.DUMMYFUNCTION("""COMPUTED_VALUE"""),"DANIEL")</f>
        <v>DANIEL</v>
      </c>
      <c r="C216" s="8" t="str">
        <f>IFERROR(__xludf.DUMMYFUNCTION("""COMPUTED_VALUE"""),"GOWRIE")</f>
        <v>GOWRIE</v>
      </c>
      <c r="D216" s="8" t="str">
        <f>IFERROR(__xludf.DUMMYFUNCTION("""COMPUTED_VALUE"""),"IA")</f>
        <v>IA</v>
      </c>
      <c r="E216" s="8" t="str">
        <f>IFERROR(__xludf.DUMMYFUNCTION("""COMPUTED_VALUE"""),"USA")</f>
        <v>USA</v>
      </c>
      <c r="F216" s="8" t="str">
        <f>IFERROR(__xludf.DUMMYFUNCTION("""COMPUTED_VALUE"""),"MIXED TRIPLES 701")</f>
        <v>MIXED TRIPLES 701</v>
      </c>
      <c r="G216" s="8" t="str">
        <f>IFERROR(__xludf.DUMMYFUNCTION("""COMPUTED_VALUE"""),"1ST")</f>
        <v>1ST</v>
      </c>
      <c r="H216" s="8" t="str">
        <f>IFERROR(__xludf.DUMMYFUNCTION("""COMPUTED_VALUE"""),"BS 36 REGIONAL NE")</f>
        <v>BS 36 REGIONAL NE</v>
      </c>
      <c r="I216" s="9">
        <f>IFERROR(__xludf.DUMMYFUNCTION("""COMPUTED_VALUE"""),44713.0)</f>
        <v>44713</v>
      </c>
      <c r="J216" s="9">
        <f>IFERROR(__xludf.DUMMYFUNCTION("""COMPUTED_VALUE"""),45809.0)</f>
        <v>45809</v>
      </c>
      <c r="K216" s="10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7" t="str">
        <f>IFERROR(__xludf.DUMMYFUNCTION("""COMPUTED_VALUE"""),"Griffin")</f>
        <v>Griffin</v>
      </c>
      <c r="B217" s="8" t="str">
        <f>IFERROR(__xludf.DUMMYFUNCTION("""COMPUTED_VALUE"""),"Joel")</f>
        <v>Joel</v>
      </c>
      <c r="C217" s="8" t="str">
        <f>IFERROR(__xludf.DUMMYFUNCTION("""COMPUTED_VALUE"""),"Oswego")</f>
        <v>Oswego</v>
      </c>
      <c r="D217" s="8" t="str">
        <f>IFERROR(__xludf.DUMMYFUNCTION("""COMPUTED_VALUE"""),"NY")</f>
        <v>NY</v>
      </c>
      <c r="E217" s="8"/>
      <c r="F217" s="8" t="str">
        <f>IFERROR(__xludf.DUMMYFUNCTION("""COMPUTED_VALUE"""),"Men Cricket Dbls")</f>
        <v>Men Cricket Dbls</v>
      </c>
      <c r="G217" s="8" t="str">
        <f>IFERROR(__xludf.DUMMYFUNCTION("""COMPUTED_VALUE"""),"3rd")</f>
        <v>3rd</v>
      </c>
      <c r="H217" s="8" t="str">
        <f>IFERROR(__xludf.DUMMYFUNCTION("""COMPUTED_VALUE"""),"NY BS 38")</f>
        <v>NY BS 38</v>
      </c>
      <c r="I217" s="9">
        <f>IFERROR(__xludf.DUMMYFUNCTION("""COMPUTED_VALUE"""),45444.0)</f>
        <v>45444</v>
      </c>
      <c r="J217" s="9">
        <f>IFERROR(__xludf.DUMMYFUNCTION("""COMPUTED_VALUE"""),46539.0)</f>
        <v>46539</v>
      </c>
      <c r="K217" s="10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7" t="str">
        <f>IFERROR(__xludf.DUMMYFUNCTION("""COMPUTED_VALUE"""),"GRIFFITH")</f>
        <v>GRIFFITH</v>
      </c>
      <c r="B218" s="8" t="str">
        <f>IFERROR(__xludf.DUMMYFUNCTION("""COMPUTED_VALUE"""),"MICHAEL")</f>
        <v>MICHAEL</v>
      </c>
      <c r="C218" s="8" t="str">
        <f>IFERROR(__xludf.DUMMYFUNCTION("""COMPUTED_VALUE"""),"POPLAR BLUFF")</f>
        <v>POPLAR BLUFF</v>
      </c>
      <c r="D218" s="8" t="str">
        <f>IFERROR(__xludf.DUMMYFUNCTION("""COMPUTED_VALUE"""),"MO")</f>
        <v>MO</v>
      </c>
      <c r="E218" s="8" t="str">
        <f>IFERROR(__xludf.DUMMYFUNCTION("""COMPUTED_VALUE"""),"USA")</f>
        <v>USA</v>
      </c>
      <c r="F218" s="8" t="str">
        <f>IFERROR(__xludf.DUMMYFUNCTION("""COMPUTED_VALUE"""),"MEN CRICKET DBLS")</f>
        <v>MEN CRICKET DBLS</v>
      </c>
      <c r="G218" s="8" t="str">
        <f>IFERROR(__xludf.DUMMYFUNCTION("""COMPUTED_VALUE"""),"2")</f>
        <v>2</v>
      </c>
      <c r="H218" s="8" t="str">
        <f>IFERROR(__xludf.DUMMYFUNCTION("""COMPUTED_VALUE"""),"BS 37 NE")</f>
        <v>BS 37 NE</v>
      </c>
      <c r="I218" s="9">
        <f>IFERROR(__xludf.DUMMYFUNCTION("""COMPUTED_VALUE"""),45078.0)</f>
        <v>45078</v>
      </c>
      <c r="J218" s="9">
        <f>IFERROR(__xludf.DUMMYFUNCTION("""COMPUTED_VALUE"""),46174.0)</f>
        <v>46174</v>
      </c>
      <c r="K218" s="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7" t="str">
        <f>IFERROR(__xludf.DUMMYFUNCTION("""COMPUTED_VALUE"""),"Grimes")</f>
        <v>Grimes</v>
      </c>
      <c r="B219" s="8" t="str">
        <f>IFERROR(__xludf.DUMMYFUNCTION("""COMPUTED_VALUE"""),"Kevin")</f>
        <v>Kevin</v>
      </c>
      <c r="C219" s="8"/>
      <c r="D219" s="8"/>
      <c r="E219" s="8"/>
      <c r="F219" s="8" t="str">
        <f>IFERROR(__xludf.DUMMYFUNCTION("""COMPUTED_VALUE"""),"ADO Top 20 2021")</f>
        <v>ADO Top 20 2021</v>
      </c>
      <c r="G219" s="8"/>
      <c r="H219" s="8"/>
      <c r="I219" s="9">
        <f>IFERROR(__xludf.DUMMYFUNCTION("""COMPUTED_VALUE"""),44348.0)</f>
        <v>44348</v>
      </c>
      <c r="J219" s="9">
        <f>IFERROR(__xludf.DUMMYFUNCTION("""COMPUTED_VALUE"""),46539.0)</f>
        <v>46539</v>
      </c>
      <c r="K219" s="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7" t="str">
        <f>IFERROR(__xludf.DUMMYFUNCTION("""COMPUTED_VALUE"""),"Guevara")</f>
        <v>Guevara</v>
      </c>
      <c r="B220" s="8" t="str">
        <f>IFERROR(__xludf.DUMMYFUNCTION("""COMPUTED_VALUE"""),"Ramiro")</f>
        <v>Ramiro</v>
      </c>
      <c r="C220" s="8"/>
      <c r="D220" s="8" t="str">
        <f>IFERROR(__xludf.DUMMYFUNCTION("""COMPUTED_VALUE"""),"TX")</f>
        <v>TX</v>
      </c>
      <c r="E220" s="8" t="str">
        <f>IFERROR(__xludf.DUMMYFUNCTION("""COMPUTED_VALUE"""),"USA")</f>
        <v>USA</v>
      </c>
      <c r="F220" s="8" t="str">
        <f>IFERROR(__xludf.DUMMYFUNCTION("""COMPUTED_VALUE"""),"TopGun Singles")</f>
        <v>TopGun Singles</v>
      </c>
      <c r="G220" s="8" t="str">
        <f>IFERROR(__xludf.DUMMYFUNCTION("""COMPUTED_VALUE"""),"1st")</f>
        <v>1st</v>
      </c>
      <c r="H220" s="8" t="str">
        <f>IFERROR(__xludf.DUMMYFUNCTION("""COMPUTED_VALUE"""),"BS 38 Finals")</f>
        <v>BS 38 Finals</v>
      </c>
      <c r="I220" s="9">
        <f>IFERROR(__xludf.DUMMYFUNCTION("""COMPUTED_VALUE"""),45444.0)</f>
        <v>45444</v>
      </c>
      <c r="J220" s="9">
        <f>IFERROR(__xludf.DUMMYFUNCTION("""COMPUTED_VALUE"""),46539.0)</f>
        <v>46539</v>
      </c>
      <c r="K220" s="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7" t="str">
        <f>IFERROR(__xludf.DUMMYFUNCTION("""COMPUTED_VALUE"""),"GUSTAFSON")</f>
        <v>GUSTAFSON</v>
      </c>
      <c r="B221" s="8" t="str">
        <f>IFERROR(__xludf.DUMMYFUNCTION("""COMPUTED_VALUE"""),"DANIEL")</f>
        <v>DANIEL</v>
      </c>
      <c r="C221" s="8" t="str">
        <f>IFERROR(__xludf.DUMMYFUNCTION("""COMPUTED_VALUE"""),"PEORIA")</f>
        <v>PEORIA</v>
      </c>
      <c r="D221" s="8" t="str">
        <f>IFERROR(__xludf.DUMMYFUNCTION("""COMPUTED_VALUE"""),"AZ")</f>
        <v>AZ</v>
      </c>
      <c r="E221" s="8" t="str">
        <f>IFERROR(__xludf.DUMMYFUNCTION("""COMPUTED_VALUE"""),"USA")</f>
        <v>USA</v>
      </c>
      <c r="F221" s="8" t="str">
        <f>IFERROR(__xludf.DUMMYFUNCTION("""COMPUTED_VALUE"""),"MENS DBLS CRICKET")</f>
        <v>MENS DBLS CRICKET</v>
      </c>
      <c r="G221" s="8" t="str">
        <f>IFERROR(__xludf.DUMMYFUNCTION("""COMPUTED_VALUE"""),"2ND")</f>
        <v>2ND</v>
      </c>
      <c r="H221" s="8" t="str">
        <f>IFERROR(__xludf.DUMMYFUNCTION("""COMPUTED_VALUE"""),"BS 36 REGIONAL AZ")</f>
        <v>BS 36 REGIONAL AZ</v>
      </c>
      <c r="I221" s="9">
        <f>IFERROR(__xludf.DUMMYFUNCTION("""COMPUTED_VALUE"""),44713.0)</f>
        <v>44713</v>
      </c>
      <c r="J221" s="9">
        <f>IFERROR(__xludf.DUMMYFUNCTION("""COMPUTED_VALUE"""),45809.0)</f>
        <v>45809</v>
      </c>
      <c r="K221" s="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7" t="str">
        <f>IFERROR(__xludf.DUMMYFUNCTION("""COMPUTED_VALUE"""),"Haag Jr.")</f>
        <v>Haag Jr.</v>
      </c>
      <c r="B222" s="8" t="str">
        <f>IFERROR(__xludf.DUMMYFUNCTION("""COMPUTED_VALUE"""),"Thomas")</f>
        <v>Thomas</v>
      </c>
      <c r="C222" s="8" t="str">
        <f>IFERROR(__xludf.DUMMYFUNCTION("""COMPUTED_VALUE"""),"Auburn")</f>
        <v>Auburn</v>
      </c>
      <c r="D222" s="8" t="str">
        <f>IFERROR(__xludf.DUMMYFUNCTION("""COMPUTED_VALUE"""),"PA")</f>
        <v>PA</v>
      </c>
      <c r="E222" s="8"/>
      <c r="F222" s="8" t="str">
        <f>IFERROR(__xludf.DUMMYFUNCTION("""COMPUTED_VALUE"""),"Men Cricket Dbls")</f>
        <v>Men Cricket Dbls</v>
      </c>
      <c r="G222" s="8" t="str">
        <f>IFERROR(__xludf.DUMMYFUNCTION("""COMPUTED_VALUE"""),"1st")</f>
        <v>1st</v>
      </c>
      <c r="H222" s="8" t="str">
        <f>IFERROR(__xludf.DUMMYFUNCTION("""COMPUTED_VALUE"""),"PA BS 38")</f>
        <v>PA BS 38</v>
      </c>
      <c r="I222" s="9">
        <f>IFERROR(__xludf.DUMMYFUNCTION("""COMPUTED_VALUE"""),45444.0)</f>
        <v>45444</v>
      </c>
      <c r="J222" s="9">
        <f>IFERROR(__xludf.DUMMYFUNCTION("""COMPUTED_VALUE"""),46539.0)</f>
        <v>46539</v>
      </c>
      <c r="K222" s="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11" t="str">
        <f>IFERROR(__xludf.DUMMYFUNCTION("""COMPUTED_VALUE"""),"Hagenow")</f>
        <v>Hagenow</v>
      </c>
      <c r="B223" s="12" t="str">
        <f>IFERROR(__xludf.DUMMYFUNCTION("""COMPUTED_VALUE"""),"Michael")</f>
        <v>Michael</v>
      </c>
      <c r="C223" s="12" t="str">
        <f>IFERROR(__xludf.DUMMYFUNCTION("""COMPUTED_VALUE"""),"La Porte")</f>
        <v>La Porte</v>
      </c>
      <c r="D223" s="12" t="str">
        <f>IFERROR(__xludf.DUMMYFUNCTION("""COMPUTED_VALUE"""),"IN")</f>
        <v>IN</v>
      </c>
      <c r="E223" s="12" t="str">
        <f>IFERROR(__xludf.DUMMYFUNCTION("""COMPUTED_VALUE"""),"USA")</f>
        <v>USA</v>
      </c>
      <c r="F223" s="12" t="str">
        <f>IFERROR(__xludf.DUMMYFUNCTION("""COMPUTED_VALUE"""),"Pro/Am")</f>
        <v>Pro/Am</v>
      </c>
      <c r="G223" s="12" t="str">
        <f>IFERROR(__xludf.DUMMYFUNCTION("""COMPUTED_VALUE"""),"3rd")</f>
        <v>3rd</v>
      </c>
      <c r="H223" s="12" t="str">
        <f>IFERROR(__xludf.DUMMYFUNCTION("""COMPUTED_VALUE"""),"MI BS 38")</f>
        <v>MI BS 38</v>
      </c>
      <c r="I223" s="14">
        <f>IFERROR(__xludf.DUMMYFUNCTION("""COMPUTED_VALUE"""),45444.0)</f>
        <v>45444</v>
      </c>
      <c r="J223" s="14">
        <f>IFERROR(__xludf.DUMMYFUNCTION("""COMPUTED_VALUE"""),46539.0)</f>
        <v>46539</v>
      </c>
      <c r="K223" s="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7" t="str">
        <f>IFERROR(__xludf.DUMMYFUNCTION("""COMPUTED_VALUE"""),"Hall")</f>
        <v>Hall</v>
      </c>
      <c r="B224" s="8" t="str">
        <f>IFERROR(__xludf.DUMMYFUNCTION("""COMPUTED_VALUE"""),"Brayden")</f>
        <v>Brayden</v>
      </c>
      <c r="C224" s="8" t="str">
        <f>IFERROR(__xludf.DUMMYFUNCTION("""COMPUTED_VALUE"""),"Thorold")</f>
        <v>Thorold</v>
      </c>
      <c r="D224" s="8"/>
      <c r="E224" s="8" t="str">
        <f>IFERROR(__xludf.DUMMYFUNCTION("""COMPUTED_VALUE"""),"Canada")</f>
        <v>Canada</v>
      </c>
      <c r="F224" s="8" t="str">
        <f>IFERROR(__xludf.DUMMYFUNCTION("""COMPUTED_VALUE"""),"Pro 501 Dbls")</f>
        <v>Pro 501 Dbls</v>
      </c>
      <c r="G224" s="8" t="str">
        <f>IFERROR(__xludf.DUMMYFUNCTION("""COMPUTED_VALUE"""),"3rd")</f>
        <v>3rd</v>
      </c>
      <c r="H224" s="8" t="str">
        <f>IFERROR(__xludf.DUMMYFUNCTION("""COMPUTED_VALUE"""),"NY BS 38")</f>
        <v>NY BS 38</v>
      </c>
      <c r="I224" s="9">
        <f>IFERROR(__xludf.DUMMYFUNCTION("""COMPUTED_VALUE"""),45444.0)</f>
        <v>45444</v>
      </c>
      <c r="J224" s="9">
        <f>IFERROR(__xludf.DUMMYFUNCTION("""COMPUTED_VALUE"""),46539.0)</f>
        <v>46539</v>
      </c>
      <c r="K224" s="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7" t="str">
        <f>IFERROR(__xludf.DUMMYFUNCTION("""COMPUTED_VALUE"""),"Hall")</f>
        <v>Hall</v>
      </c>
      <c r="B225" s="8" t="str">
        <f>IFERROR(__xludf.DUMMYFUNCTION("""COMPUTED_VALUE"""),"Bryan")</f>
        <v>Bryan</v>
      </c>
      <c r="C225" s="8" t="str">
        <f>IFERROR(__xludf.DUMMYFUNCTION("""COMPUTED_VALUE"""),"Orangeville")</f>
        <v>Orangeville</v>
      </c>
      <c r="D225" s="8" t="str">
        <f>IFERROR(__xludf.DUMMYFUNCTION("""COMPUTED_VALUE"""),"PA")</f>
        <v>PA</v>
      </c>
      <c r="E225" s="8"/>
      <c r="F225" s="8" t="str">
        <f>IFERROR(__xludf.DUMMYFUNCTION("""COMPUTED_VALUE"""),"Men Cricket Dbls")</f>
        <v>Men Cricket Dbls</v>
      </c>
      <c r="G225" s="8" t="str">
        <f>IFERROR(__xludf.DUMMYFUNCTION("""COMPUTED_VALUE"""),"2nd")</f>
        <v>2nd</v>
      </c>
      <c r="H225" s="8" t="str">
        <f>IFERROR(__xludf.DUMMYFUNCTION("""COMPUTED_VALUE"""),"FL BS 38")</f>
        <v>FL BS 38</v>
      </c>
      <c r="I225" s="9">
        <f>IFERROR(__xludf.DUMMYFUNCTION("""COMPUTED_VALUE"""),45444.0)</f>
        <v>45444</v>
      </c>
      <c r="J225" s="9">
        <f>IFERROR(__xludf.DUMMYFUNCTION("""COMPUTED_VALUE"""),46539.0)</f>
        <v>46539</v>
      </c>
      <c r="K225" s="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7" t="str">
        <f>IFERROR(__xludf.DUMMYFUNCTION("""COMPUTED_VALUE"""),"HALL")</f>
        <v>HALL</v>
      </c>
      <c r="B226" s="8" t="str">
        <f>IFERROR(__xludf.DUMMYFUNCTION("""COMPUTED_VALUE"""),"BRYCE")</f>
        <v>BRYCE</v>
      </c>
      <c r="C226" s="8" t="str">
        <f>IFERROR(__xludf.DUMMYFUNCTION("""COMPUTED_VALUE"""),"HILLIARD")</f>
        <v>HILLIARD</v>
      </c>
      <c r="D226" s="8" t="str">
        <f>IFERROR(__xludf.DUMMYFUNCTION("""COMPUTED_VALUE"""),"OH")</f>
        <v>OH</v>
      </c>
      <c r="E226" s="8" t="str">
        <f>IFERROR(__xludf.DUMMYFUNCTION("""COMPUTED_VALUE"""),"USA")</f>
        <v>USA</v>
      </c>
      <c r="F226" s="8" t="str">
        <f>IFERROR(__xludf.DUMMYFUNCTION("""COMPUTED_VALUE"""),"MEN CRICKET DBLS")</f>
        <v>MEN CRICKET DBLS</v>
      </c>
      <c r="G226" s="8" t="str">
        <f>IFERROR(__xludf.DUMMYFUNCTION("""COMPUTED_VALUE"""),"1")</f>
        <v>1</v>
      </c>
      <c r="H226" s="8" t="str">
        <f>IFERROR(__xludf.DUMMYFUNCTION("""COMPUTED_VALUE"""),"BS 37 OH")</f>
        <v>BS 37 OH</v>
      </c>
      <c r="I226" s="9">
        <f>IFERROR(__xludf.DUMMYFUNCTION("""COMPUTED_VALUE"""),45078.0)</f>
        <v>45078</v>
      </c>
      <c r="J226" s="9">
        <f>IFERROR(__xludf.DUMMYFUNCTION("""COMPUTED_VALUE"""),46174.0)</f>
        <v>46174</v>
      </c>
      <c r="K226" s="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7" t="str">
        <f>IFERROR(__xludf.DUMMYFUNCTION("""COMPUTED_VALUE"""),"Halley")</f>
        <v>Halley</v>
      </c>
      <c r="B227" s="8" t="str">
        <f>IFERROR(__xludf.DUMMYFUNCTION("""COMPUTED_VALUE"""),"Brad")</f>
        <v>Brad</v>
      </c>
      <c r="C227" s="8" t="str">
        <f>IFERROR(__xludf.DUMMYFUNCTION("""COMPUTED_VALUE"""),"Phoenix")</f>
        <v>Phoenix</v>
      </c>
      <c r="D227" s="8" t="str">
        <f>IFERROR(__xludf.DUMMYFUNCTION("""COMPUTED_VALUE"""),"AZ")</f>
        <v>AZ</v>
      </c>
      <c r="E227" s="8" t="str">
        <f>IFERROR(__xludf.DUMMYFUNCTION("""COMPUTED_VALUE"""),"USA")</f>
        <v>USA</v>
      </c>
      <c r="F227" s="8" t="str">
        <f>IFERROR(__xludf.DUMMYFUNCTION("""COMPUTED_VALUE"""),"Known Pro")</f>
        <v>Known Pro</v>
      </c>
      <c r="G227" s="8"/>
      <c r="H227" s="8" t="str">
        <f>IFERROR(__xludf.DUMMYFUNCTION("""COMPUTED_VALUE"""),"Known Ability")</f>
        <v>Known Ability</v>
      </c>
      <c r="I227" s="9">
        <f>IFERROR(__xludf.DUMMYFUNCTION("""COMPUTED_VALUE"""),36892.0)</f>
        <v>36892</v>
      </c>
      <c r="J227" s="9">
        <f>IFERROR(__xludf.DUMMYFUNCTION("""COMPUTED_VALUE"""),47635.0)</f>
        <v>47635</v>
      </c>
      <c r="K227" s="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7" t="str">
        <f>IFERROR(__xludf.DUMMYFUNCTION("""COMPUTED_VALUE"""),"HAM")</f>
        <v>HAM</v>
      </c>
      <c r="B228" s="8" t="str">
        <f>IFERROR(__xludf.DUMMYFUNCTION("""COMPUTED_VALUE"""),"AARON")</f>
        <v>AARON</v>
      </c>
      <c r="C228" s="8" t="str">
        <f>IFERROR(__xludf.DUMMYFUNCTION("""COMPUTED_VALUE"""),"CANANDAIGUA")</f>
        <v>CANANDAIGUA</v>
      </c>
      <c r="D228" s="8" t="str">
        <f>IFERROR(__xludf.DUMMYFUNCTION("""COMPUTED_VALUE"""),"NY")</f>
        <v>NY</v>
      </c>
      <c r="E228" s="8" t="str">
        <f>IFERROR(__xludf.DUMMYFUNCTION("""COMPUTED_VALUE"""),"USA")</f>
        <v>USA</v>
      </c>
      <c r="F228" s="8" t="str">
        <f>IFERROR(__xludf.DUMMYFUNCTION("""COMPUTED_VALUE"""),"MENS DBLS CRICKET")</f>
        <v>MENS DBLS CRICKET</v>
      </c>
      <c r="G228" s="8" t="str">
        <f>IFERROR(__xludf.DUMMYFUNCTION("""COMPUTED_VALUE"""),"3RD")</f>
        <v>3RD</v>
      </c>
      <c r="H228" s="8" t="str">
        <f>IFERROR(__xludf.DUMMYFUNCTION("""COMPUTED_VALUE"""),"BS 36 REGIONAL NY")</f>
        <v>BS 36 REGIONAL NY</v>
      </c>
      <c r="I228" s="9">
        <f>IFERROR(__xludf.DUMMYFUNCTION("""COMPUTED_VALUE"""),44713.0)</f>
        <v>44713</v>
      </c>
      <c r="J228" s="9">
        <f>IFERROR(__xludf.DUMMYFUNCTION("""COMPUTED_VALUE"""),45809.0)</f>
        <v>45809</v>
      </c>
      <c r="K228" s="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7" t="str">
        <f>IFERROR(__xludf.DUMMYFUNCTION("""COMPUTED_VALUE"""),"HAM")</f>
        <v>HAM</v>
      </c>
      <c r="B229" s="8" t="str">
        <f>IFERROR(__xludf.DUMMYFUNCTION("""COMPUTED_VALUE"""),"ROBERT")</f>
        <v>ROBERT</v>
      </c>
      <c r="C229" s="8" t="str">
        <f>IFERROR(__xludf.DUMMYFUNCTION("""COMPUTED_VALUE"""),"GRAND RAPIDS")</f>
        <v>GRAND RAPIDS</v>
      </c>
      <c r="D229" s="8" t="str">
        <f>IFERROR(__xludf.DUMMYFUNCTION("""COMPUTED_VALUE"""),"MI")</f>
        <v>MI</v>
      </c>
      <c r="E229" s="8" t="str">
        <f>IFERROR(__xludf.DUMMYFUNCTION("""COMPUTED_VALUE"""),"USA")</f>
        <v>USA</v>
      </c>
      <c r="F229" s="8" t="str">
        <f>IFERROR(__xludf.DUMMYFUNCTION("""COMPUTED_VALUE"""),"MENS DBLS 501")</f>
        <v>MENS DBLS 501</v>
      </c>
      <c r="G229" s="8" t="str">
        <f>IFERROR(__xludf.DUMMYFUNCTION("""COMPUTED_VALUE"""),"1ST")</f>
        <v>1ST</v>
      </c>
      <c r="H229" s="8" t="str">
        <f>IFERROR(__xludf.DUMMYFUNCTION("""COMPUTED_VALUE"""),"BS 36 REGIONAL IN")</f>
        <v>BS 36 REGIONAL IN</v>
      </c>
      <c r="I229" s="9">
        <f>IFERROR(__xludf.DUMMYFUNCTION("""COMPUTED_VALUE"""),44713.0)</f>
        <v>44713</v>
      </c>
      <c r="J229" s="9">
        <f>IFERROR(__xludf.DUMMYFUNCTION("""COMPUTED_VALUE"""),45809.0)</f>
        <v>45809</v>
      </c>
      <c r="K229" s="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7" t="str">
        <f>IFERROR(__xludf.DUMMYFUNCTION("""COMPUTED_VALUE"""),"HAMMACK")</f>
        <v>HAMMACK</v>
      </c>
      <c r="B230" s="8" t="str">
        <f>IFERROR(__xludf.DUMMYFUNCTION("""COMPUTED_VALUE"""),"ANDREW")</f>
        <v>ANDREW</v>
      </c>
      <c r="C230" s="8" t="str">
        <f>IFERROR(__xludf.DUMMYFUNCTION("""COMPUTED_VALUE"""),"WAGGAMAN")</f>
        <v>WAGGAMAN</v>
      </c>
      <c r="D230" s="8" t="str">
        <f>IFERROR(__xludf.DUMMYFUNCTION("""COMPUTED_VALUE"""),"LA")</f>
        <v>LA</v>
      </c>
      <c r="E230" s="8" t="str">
        <f>IFERROR(__xludf.DUMMYFUNCTION("""COMPUTED_VALUE"""),"USA")</f>
        <v>USA</v>
      </c>
      <c r="F230" s="8" t="str">
        <f>IFERROR(__xludf.DUMMYFUNCTION("""COMPUTED_VALUE"""),"PRO 501 DBLS")</f>
        <v>PRO 501 DBLS</v>
      </c>
      <c r="G230" s="8" t="str">
        <f>IFERROR(__xludf.DUMMYFUNCTION("""COMPUTED_VALUE"""),"1")</f>
        <v>1</v>
      </c>
      <c r="H230" s="8" t="str">
        <f>IFERROR(__xludf.DUMMYFUNCTION("""COMPUTED_VALUE"""),"BS 37 TX")</f>
        <v>BS 37 TX</v>
      </c>
      <c r="I230" s="9">
        <f>IFERROR(__xludf.DUMMYFUNCTION("""COMPUTED_VALUE"""),45078.0)</f>
        <v>45078</v>
      </c>
      <c r="J230" s="9">
        <f>IFERROR(__xludf.DUMMYFUNCTION("""COMPUTED_VALUE"""),46174.0)</f>
        <v>46174</v>
      </c>
      <c r="K230" s="10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7" t="str">
        <f>IFERROR(__xludf.DUMMYFUNCTION("""COMPUTED_VALUE"""),"HANSON")</f>
        <v>HANSON</v>
      </c>
      <c r="B231" s="8" t="str">
        <f>IFERROR(__xludf.DUMMYFUNCTION("""COMPUTED_VALUE"""),"MIKE")</f>
        <v>MIKE</v>
      </c>
      <c r="C231" s="8" t="str">
        <f>IFERROR(__xludf.DUMMYFUNCTION("""COMPUTED_VALUE"""),"COLUMBUS")</f>
        <v>COLUMBUS</v>
      </c>
      <c r="D231" s="8" t="str">
        <f>IFERROR(__xludf.DUMMYFUNCTION("""COMPUTED_VALUE"""),"OH")</f>
        <v>OH</v>
      </c>
      <c r="E231" s="8" t="str">
        <f>IFERROR(__xludf.DUMMYFUNCTION("""COMPUTED_VALUE"""),"USA")</f>
        <v>USA</v>
      </c>
      <c r="F231" s="8" t="str">
        <f>IFERROR(__xludf.DUMMYFUNCTION("""COMPUTED_VALUE"""),"MEN CRICKET DBLS")</f>
        <v>MEN CRICKET DBLS</v>
      </c>
      <c r="G231" s="8" t="str">
        <f>IFERROR(__xludf.DUMMYFUNCTION("""COMPUTED_VALUE"""),"1")</f>
        <v>1</v>
      </c>
      <c r="H231" s="8" t="str">
        <f>IFERROR(__xludf.DUMMYFUNCTION("""COMPUTED_VALUE"""),"BS 37 OH")</f>
        <v>BS 37 OH</v>
      </c>
      <c r="I231" s="9">
        <f>IFERROR(__xludf.DUMMYFUNCTION("""COMPUTED_VALUE"""),45078.0)</f>
        <v>45078</v>
      </c>
      <c r="J231" s="9">
        <f>IFERROR(__xludf.DUMMYFUNCTION("""COMPUTED_VALUE"""),46174.0)</f>
        <v>46174</v>
      </c>
      <c r="K231" s="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7" t="str">
        <f>IFERROR(__xludf.DUMMYFUNCTION("""COMPUTED_VALUE"""),"Harder")</f>
        <v>Harder</v>
      </c>
      <c r="B232" s="8" t="str">
        <f>IFERROR(__xludf.DUMMYFUNCTION("""COMPUTED_VALUE"""),"Joiley")</f>
        <v>Joiley</v>
      </c>
      <c r="C232" s="8" t="str">
        <f>IFERROR(__xludf.DUMMYFUNCTION("""COMPUTED_VALUE"""),"Fresno")</f>
        <v>Fresno</v>
      </c>
      <c r="D232" s="8" t="str">
        <f>IFERROR(__xludf.DUMMYFUNCTION("""COMPUTED_VALUE"""),"TX")</f>
        <v>TX</v>
      </c>
      <c r="E232" s="8"/>
      <c r="F232" s="8" t="str">
        <f>IFERROR(__xludf.DUMMYFUNCTION("""COMPUTED_VALUE"""),"Men Singles")</f>
        <v>Men Singles</v>
      </c>
      <c r="G232" s="8" t="str">
        <f>IFERROR(__xludf.DUMMYFUNCTION("""COMPUTED_VALUE"""),"2nd")</f>
        <v>2nd</v>
      </c>
      <c r="H232" s="8" t="str">
        <f>IFERROR(__xludf.DUMMYFUNCTION("""COMPUTED_VALUE"""),"TX BS 38")</f>
        <v>TX BS 38</v>
      </c>
      <c r="I232" s="9">
        <f>IFERROR(__xludf.DUMMYFUNCTION("""COMPUTED_VALUE"""),45444.0)</f>
        <v>45444</v>
      </c>
      <c r="J232" s="9">
        <f>IFERROR(__xludf.DUMMYFUNCTION("""COMPUTED_VALUE"""),46539.0)</f>
        <v>46539</v>
      </c>
      <c r="K232" s="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7" t="str">
        <f>IFERROR(__xludf.DUMMYFUNCTION("""COMPUTED_VALUE"""),"HARDWICK")</f>
        <v>HARDWICK</v>
      </c>
      <c r="B233" s="8" t="str">
        <f>IFERROR(__xludf.DUMMYFUNCTION("""COMPUTED_VALUE"""),"JASON")</f>
        <v>JASON</v>
      </c>
      <c r="C233" s="8" t="str">
        <f>IFERROR(__xludf.DUMMYFUNCTION("""COMPUTED_VALUE"""),"JOHNSTOWN")</f>
        <v>JOHNSTOWN</v>
      </c>
      <c r="D233" s="8" t="str">
        <f>IFERROR(__xludf.DUMMYFUNCTION("""COMPUTED_VALUE"""),"PA")</f>
        <v>PA</v>
      </c>
      <c r="E233" s="8" t="str">
        <f>IFERROR(__xludf.DUMMYFUNCTION("""COMPUTED_VALUE"""),"USA")</f>
        <v>USA</v>
      </c>
      <c r="F233" s="8" t="str">
        <f>IFERROR(__xludf.DUMMYFUNCTION("""COMPUTED_VALUE"""),"TOPGUN NONPRO TRIPLES")</f>
        <v>TOPGUN NONPRO TRIPLES</v>
      </c>
      <c r="G233" s="8" t="str">
        <f>IFERROR(__xludf.DUMMYFUNCTION("""COMPUTED_VALUE"""),"3 4")</f>
        <v>3 4</v>
      </c>
      <c r="H233" s="8" t="str">
        <f>IFERROR(__xludf.DUMMYFUNCTION("""COMPUTED_VALUE"""),"BS 37 FINALS")</f>
        <v>BS 37 FINALS</v>
      </c>
      <c r="I233" s="9">
        <f>IFERROR(__xludf.DUMMYFUNCTION("""COMPUTED_VALUE"""),45078.0)</f>
        <v>45078</v>
      </c>
      <c r="J233" s="9">
        <f>IFERROR(__xludf.DUMMYFUNCTION("""COMPUTED_VALUE"""),46174.0)</f>
        <v>46174</v>
      </c>
      <c r="K233" s="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11" t="str">
        <f>IFERROR(__xludf.DUMMYFUNCTION("""COMPUTED_VALUE"""),"Harris")</f>
        <v>Harris</v>
      </c>
      <c r="B234" s="12" t="str">
        <f>IFERROR(__xludf.DUMMYFUNCTION("""COMPUTED_VALUE"""),"Jolen")</f>
        <v>Jolen</v>
      </c>
      <c r="C234" s="12"/>
      <c r="D234" s="12"/>
      <c r="E234" s="12"/>
      <c r="F234" s="12" t="str">
        <f>IFERROR(__xludf.DUMMYFUNCTION("""COMPUTED_VALUE"""),"TopGun Mixed")</f>
        <v>TopGun Mixed</v>
      </c>
      <c r="G234" s="12" t="str">
        <f>IFERROR(__xludf.DUMMYFUNCTION("""COMPUTED_VALUE"""),"3-4th")</f>
        <v>3-4th</v>
      </c>
      <c r="H234" s="12" t="str">
        <f>IFERROR(__xludf.DUMMYFUNCTION("""COMPUTED_VALUE"""),"BS 38 Finals")</f>
        <v>BS 38 Finals</v>
      </c>
      <c r="I234" s="14">
        <f>IFERROR(__xludf.DUMMYFUNCTION("""COMPUTED_VALUE"""),45444.0)</f>
        <v>45444</v>
      </c>
      <c r="J234" s="14">
        <f>IFERROR(__xludf.DUMMYFUNCTION("""COMPUTED_VALUE"""),46539.0)</f>
        <v>46539</v>
      </c>
      <c r="K234" s="10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7" t="str">
        <f>IFERROR(__xludf.DUMMYFUNCTION("""COMPUTED_VALUE"""),"Harvey")</f>
        <v>Harvey</v>
      </c>
      <c r="B235" s="8" t="str">
        <f>IFERROR(__xludf.DUMMYFUNCTION("""COMPUTED_VALUE"""),"Wayne")</f>
        <v>Wayne</v>
      </c>
      <c r="C235" s="8" t="str">
        <f>IFERROR(__xludf.DUMMYFUNCTION("""COMPUTED_VALUE"""),"Horn Lake")</f>
        <v>Horn Lake</v>
      </c>
      <c r="D235" s="8" t="str">
        <f>IFERROR(__xludf.DUMMYFUNCTION("""COMPUTED_VALUE"""),"MS")</f>
        <v>MS</v>
      </c>
      <c r="E235" s="8"/>
      <c r="F235" s="8" t="str">
        <f>IFERROR(__xludf.DUMMYFUNCTION("""COMPUTED_VALUE"""),"Men Cricket Dbls")</f>
        <v>Men Cricket Dbls</v>
      </c>
      <c r="G235" s="8" t="str">
        <f>IFERROR(__xludf.DUMMYFUNCTION("""COMPUTED_VALUE"""),"1st")</f>
        <v>1st</v>
      </c>
      <c r="H235" s="8" t="str">
        <f>IFERROR(__xludf.DUMMYFUNCTION("""COMPUTED_VALUE"""),"TN BS 38")</f>
        <v>TN BS 38</v>
      </c>
      <c r="I235" s="9">
        <f>IFERROR(__xludf.DUMMYFUNCTION("""COMPUTED_VALUE"""),45444.0)</f>
        <v>45444</v>
      </c>
      <c r="J235" s="9">
        <f>IFERROR(__xludf.DUMMYFUNCTION("""COMPUTED_VALUE"""),46539.0)</f>
        <v>46539</v>
      </c>
      <c r="K235" s="10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7" t="str">
        <f>IFERROR(__xludf.DUMMYFUNCTION("""COMPUTED_VALUE"""),"HAWKINS")</f>
        <v>HAWKINS</v>
      </c>
      <c r="B236" s="8" t="str">
        <f>IFERROR(__xludf.DUMMYFUNCTION("""COMPUTED_VALUE"""),"DANIEL")</f>
        <v>DANIEL</v>
      </c>
      <c r="C236" s="8" t="str">
        <f>IFERROR(__xludf.DUMMYFUNCTION("""COMPUTED_VALUE"""),"SAN ANTONIO")</f>
        <v>SAN ANTONIO</v>
      </c>
      <c r="D236" s="8" t="str">
        <f>IFERROR(__xludf.DUMMYFUNCTION("""COMPUTED_VALUE"""),"TX")</f>
        <v>TX</v>
      </c>
      <c r="E236" s="8" t="str">
        <f>IFERROR(__xludf.DUMMYFUNCTION("""COMPUTED_VALUE"""),"USA")</f>
        <v>USA</v>
      </c>
      <c r="F236" s="8" t="str">
        <f>IFERROR(__xludf.DUMMYFUNCTION("""COMPUTED_VALUE"""),"PRO 501 DBLS")</f>
        <v>PRO 501 DBLS</v>
      </c>
      <c r="G236" s="8" t="str">
        <f>IFERROR(__xludf.DUMMYFUNCTION("""COMPUTED_VALUE"""),"3")</f>
        <v>3</v>
      </c>
      <c r="H236" s="8" t="str">
        <f>IFERROR(__xludf.DUMMYFUNCTION("""COMPUTED_VALUE"""),"BS 37 TX")</f>
        <v>BS 37 TX</v>
      </c>
      <c r="I236" s="9">
        <f>IFERROR(__xludf.DUMMYFUNCTION("""COMPUTED_VALUE"""),45078.0)</f>
        <v>45078</v>
      </c>
      <c r="J236" s="9">
        <f>IFERROR(__xludf.DUMMYFUNCTION("""COMPUTED_VALUE"""),46174.0)</f>
        <v>46174</v>
      </c>
      <c r="K236" s="10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7" t="str">
        <f>IFERROR(__xludf.DUMMYFUNCTION("""COMPUTED_VALUE"""),"HAWKSWORTH")</f>
        <v>HAWKSWORTH</v>
      </c>
      <c r="B237" s="8" t="str">
        <f>IFERROR(__xludf.DUMMYFUNCTION("""COMPUTED_VALUE"""),"DALTON")</f>
        <v>DALTON</v>
      </c>
      <c r="C237" s="8" t="str">
        <f>IFERROR(__xludf.DUMMYFUNCTION("""COMPUTED_VALUE"""),"MANSFIELD")</f>
        <v>MANSFIELD</v>
      </c>
      <c r="D237" s="8" t="str">
        <f>IFERROR(__xludf.DUMMYFUNCTION("""COMPUTED_VALUE"""),"OH")</f>
        <v>OH</v>
      </c>
      <c r="E237" s="8" t="str">
        <f>IFERROR(__xludf.DUMMYFUNCTION("""COMPUTED_VALUE"""),"USA")</f>
        <v>USA</v>
      </c>
      <c r="F237" s="8" t="str">
        <f>IFERROR(__xludf.DUMMYFUNCTION("""COMPUTED_VALUE"""),"PRO 501 DBLS")</f>
        <v>PRO 501 DBLS</v>
      </c>
      <c r="G237" s="8" t="str">
        <f>IFERROR(__xludf.DUMMYFUNCTION("""COMPUTED_VALUE"""),"3")</f>
        <v>3</v>
      </c>
      <c r="H237" s="8" t="str">
        <f>IFERROR(__xludf.DUMMYFUNCTION("""COMPUTED_VALUE"""),"BS 37 OH")</f>
        <v>BS 37 OH</v>
      </c>
      <c r="I237" s="9">
        <f>IFERROR(__xludf.DUMMYFUNCTION("""COMPUTED_VALUE"""),45078.0)</f>
        <v>45078</v>
      </c>
      <c r="J237" s="9">
        <f>IFERROR(__xludf.DUMMYFUNCTION("""COMPUTED_VALUE"""),46174.0)</f>
        <v>46174</v>
      </c>
      <c r="K237" s="10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7" t="str">
        <f>IFERROR(__xludf.DUMMYFUNCTION("""COMPUTED_VALUE"""),"Hayes")</f>
        <v>Hayes</v>
      </c>
      <c r="B238" s="8" t="str">
        <f>IFERROR(__xludf.DUMMYFUNCTION("""COMPUTED_VALUE"""),"Casey")</f>
        <v>Casey</v>
      </c>
      <c r="C238" s="8"/>
      <c r="D238" s="8"/>
      <c r="E238" s="8"/>
      <c r="F238" s="8" t="str">
        <f>IFERROR(__xludf.DUMMYFUNCTION("""COMPUTED_VALUE"""),"Mixed Triples 701")</f>
        <v>Mixed Triples 701</v>
      </c>
      <c r="G238" s="8" t="str">
        <f>IFERROR(__xludf.DUMMYFUNCTION("""COMPUTED_VALUE"""),"3rd")</f>
        <v>3rd</v>
      </c>
      <c r="H238" s="8" t="str">
        <f>IFERROR(__xludf.DUMMYFUNCTION("""COMPUTED_VALUE"""),"BS 38 Finals")</f>
        <v>BS 38 Finals</v>
      </c>
      <c r="I238" s="9">
        <f>IFERROR(__xludf.DUMMYFUNCTION("""COMPUTED_VALUE"""),45444.0)</f>
        <v>45444</v>
      </c>
      <c r="J238" s="9">
        <f>IFERROR(__xludf.DUMMYFUNCTION("""COMPUTED_VALUE"""),46539.0)</f>
        <v>46539</v>
      </c>
      <c r="K238" s="10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7" t="str">
        <f>IFERROR(__xludf.DUMMYFUNCTION("""COMPUTED_VALUE"""),"Heckman")</f>
        <v>Heckman</v>
      </c>
      <c r="B239" s="8" t="str">
        <f>IFERROR(__xludf.DUMMYFUNCTION("""COMPUTED_VALUE"""),"Robert")</f>
        <v>Robert</v>
      </c>
      <c r="C239" s="8" t="str">
        <f>IFERROR(__xludf.DUMMYFUNCTION("""COMPUTED_VALUE"""),"Vacaville")</f>
        <v>Vacaville</v>
      </c>
      <c r="D239" s="8" t="str">
        <f>IFERROR(__xludf.DUMMYFUNCTION("""COMPUTED_VALUE"""),"CA")</f>
        <v>CA</v>
      </c>
      <c r="E239" s="8" t="str">
        <f>IFERROR(__xludf.DUMMYFUNCTION("""COMPUTED_VALUE"""),"USA")</f>
        <v>USA</v>
      </c>
      <c r="F239" s="8" t="str">
        <f>IFERROR(__xludf.DUMMYFUNCTION("""COMPUTED_VALUE"""),"Pro AA Doubles Cricket")</f>
        <v>Pro AA Doubles Cricket</v>
      </c>
      <c r="G239" s="8" t="str">
        <f>IFERROR(__xludf.DUMMYFUNCTION("""COMPUTED_VALUE"""),"1st")</f>
        <v>1st</v>
      </c>
      <c r="H239" s="8" t="str">
        <f>IFERROR(__xludf.DUMMYFUNCTION("""COMPUTED_VALUE"""),"Known Ability")</f>
        <v>Known Ability</v>
      </c>
      <c r="I239" s="9">
        <f>IFERROR(__xludf.DUMMYFUNCTION("""COMPUTED_VALUE"""),40695.0)</f>
        <v>40695</v>
      </c>
      <c r="J239" s="9">
        <f>IFERROR(__xludf.DUMMYFUNCTION("""COMPUTED_VALUE"""),47635.0)</f>
        <v>47635</v>
      </c>
      <c r="K239" s="10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7" t="str">
        <f>IFERROR(__xludf.DUMMYFUNCTION("""COMPUTED_VALUE"""),"Hedrick")</f>
        <v>Hedrick</v>
      </c>
      <c r="B240" s="8" t="str">
        <f>IFERROR(__xludf.DUMMYFUNCTION("""COMPUTED_VALUE"""),"Joe")</f>
        <v>Joe</v>
      </c>
      <c r="C240" s="8" t="str">
        <f>IFERROR(__xludf.DUMMYFUNCTION("""COMPUTED_VALUE"""),"Loudinville")</f>
        <v>Loudinville</v>
      </c>
      <c r="D240" s="8" t="str">
        <f>IFERROR(__xludf.DUMMYFUNCTION("""COMPUTED_VALUE"""),"OH")</f>
        <v>OH</v>
      </c>
      <c r="E240" s="8"/>
      <c r="F240" s="8" t="str">
        <f>IFERROR(__xludf.DUMMYFUNCTION("""COMPUTED_VALUE"""),"Pro 501 Dbls")</f>
        <v>Pro 501 Dbls</v>
      </c>
      <c r="G240" s="8" t="str">
        <f>IFERROR(__xludf.DUMMYFUNCTION("""COMPUTED_VALUE"""),"2nd")</f>
        <v>2nd</v>
      </c>
      <c r="H240" s="8" t="str">
        <f>IFERROR(__xludf.DUMMYFUNCTION("""COMPUTED_VALUE"""),"NY BS 38")</f>
        <v>NY BS 38</v>
      </c>
      <c r="I240" s="9">
        <f>IFERROR(__xludf.DUMMYFUNCTION("""COMPUTED_VALUE"""),45444.0)</f>
        <v>45444</v>
      </c>
      <c r="J240" s="9">
        <f>IFERROR(__xludf.DUMMYFUNCTION("""COMPUTED_VALUE"""),46539.0)</f>
        <v>46539</v>
      </c>
      <c r="K240" s="10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7" t="str">
        <f>IFERROR(__xludf.DUMMYFUNCTION("""COMPUTED_VALUE"""),"HEDRICK")</f>
        <v>HEDRICK</v>
      </c>
      <c r="B241" s="8" t="str">
        <f>IFERROR(__xludf.DUMMYFUNCTION("""COMPUTED_VALUE"""),"MITCH")</f>
        <v>MITCH</v>
      </c>
      <c r="C241" s="8" t="str">
        <f>IFERROR(__xludf.DUMMYFUNCTION("""COMPUTED_VALUE"""),"PERRYSVILLE")</f>
        <v>PERRYSVILLE</v>
      </c>
      <c r="D241" s="8" t="str">
        <f>IFERROR(__xludf.DUMMYFUNCTION("""COMPUTED_VALUE"""),"OH")</f>
        <v>OH</v>
      </c>
      <c r="E241" s="8" t="str">
        <f>IFERROR(__xludf.DUMMYFUNCTION("""COMPUTED_VALUE"""),"USA")</f>
        <v>USA</v>
      </c>
      <c r="F241" s="8" t="str">
        <f>IFERROR(__xludf.DUMMYFUNCTION("""COMPUTED_VALUE"""),"MENS DBLS 501")</f>
        <v>MENS DBLS 501</v>
      </c>
      <c r="G241" s="8" t="str">
        <f>IFERROR(__xludf.DUMMYFUNCTION("""COMPUTED_VALUE"""),"3RD")</f>
        <v>3RD</v>
      </c>
      <c r="H241" s="8" t="str">
        <f>IFERROR(__xludf.DUMMYFUNCTION("""COMPUTED_VALUE"""),"BS 36 REGIONAL PA")</f>
        <v>BS 36 REGIONAL PA</v>
      </c>
      <c r="I241" s="9">
        <f>IFERROR(__xludf.DUMMYFUNCTION("""COMPUTED_VALUE"""),44713.0)</f>
        <v>44713</v>
      </c>
      <c r="J241" s="9">
        <f>IFERROR(__xludf.DUMMYFUNCTION("""COMPUTED_VALUE"""),45809.0)</f>
        <v>45809</v>
      </c>
      <c r="K241" s="10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7" t="str">
        <f>IFERROR(__xludf.DUMMYFUNCTION("""COMPUTED_VALUE"""),"Helgeson")</f>
        <v>Helgeson</v>
      </c>
      <c r="B242" s="8" t="str">
        <f>IFERROR(__xludf.DUMMYFUNCTION("""COMPUTED_VALUE"""),"Lane")</f>
        <v>Lane</v>
      </c>
      <c r="C242" s="8" t="str">
        <f>IFERROR(__xludf.DUMMYFUNCTION("""COMPUTED_VALUE"""),"Muskego")</f>
        <v>Muskego</v>
      </c>
      <c r="D242" s="8" t="str">
        <f>IFERROR(__xludf.DUMMYFUNCTION("""COMPUTED_VALUE"""),"WI")</f>
        <v>WI</v>
      </c>
      <c r="E242" s="8" t="str">
        <f>IFERROR(__xludf.DUMMYFUNCTION("""COMPUTED_VALUE"""),"USA")</f>
        <v>USA</v>
      </c>
      <c r="F242" s="8" t="str">
        <f>IFERROR(__xludf.DUMMYFUNCTION("""COMPUTED_VALUE"""),"Top Gun Triples Pro/AA")</f>
        <v>Top Gun Triples Pro/AA</v>
      </c>
      <c r="G242" s="8" t="str">
        <f>IFERROR(__xludf.DUMMYFUNCTION("""COMPUTED_VALUE"""),"2nd")</f>
        <v>2nd</v>
      </c>
      <c r="H242" s="8" t="str">
        <f>IFERROR(__xludf.DUMMYFUNCTION("""COMPUTED_VALUE"""),"Known Ability")</f>
        <v>Known Ability</v>
      </c>
      <c r="I242" s="9">
        <f>IFERROR(__xludf.DUMMYFUNCTION("""COMPUTED_VALUE"""),36892.0)</f>
        <v>36892</v>
      </c>
      <c r="J242" s="9">
        <f>IFERROR(__xludf.DUMMYFUNCTION("""COMPUTED_VALUE"""),47635.0)</f>
        <v>47635</v>
      </c>
      <c r="K242" s="10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7" t="str">
        <f>IFERROR(__xludf.DUMMYFUNCTION("""COMPUTED_VALUE"""),"HELTON")</f>
        <v>HELTON</v>
      </c>
      <c r="B243" s="8" t="str">
        <f>IFERROR(__xludf.DUMMYFUNCTION("""COMPUTED_VALUE"""),"JEROME")</f>
        <v>JEROME</v>
      </c>
      <c r="C243" s="8" t="str">
        <f>IFERROR(__xludf.DUMMYFUNCTION("""COMPUTED_VALUE"""),"CAPE GIRARDEAU")</f>
        <v>CAPE GIRARDEAU</v>
      </c>
      <c r="D243" s="8" t="str">
        <f>IFERROR(__xludf.DUMMYFUNCTION("""COMPUTED_VALUE"""),"MO")</f>
        <v>MO</v>
      </c>
      <c r="E243" s="8" t="str">
        <f>IFERROR(__xludf.DUMMYFUNCTION("""COMPUTED_VALUE"""),"USA")</f>
        <v>USA</v>
      </c>
      <c r="F243" s="8" t="str">
        <f>IFERROR(__xludf.DUMMYFUNCTION("""COMPUTED_VALUE"""),"MEN CRICKET DBLS")</f>
        <v>MEN CRICKET DBLS</v>
      </c>
      <c r="G243" s="8" t="str">
        <f>IFERROR(__xludf.DUMMYFUNCTION("""COMPUTED_VALUE"""),"3")</f>
        <v>3</v>
      </c>
      <c r="H243" s="8" t="str">
        <f>IFERROR(__xludf.DUMMYFUNCTION("""COMPUTED_VALUE"""),"BS 37 SC")</f>
        <v>BS 37 SC</v>
      </c>
      <c r="I243" s="9">
        <f>IFERROR(__xludf.DUMMYFUNCTION("""COMPUTED_VALUE"""),45078.0)</f>
        <v>45078</v>
      </c>
      <c r="J243" s="9">
        <f>IFERROR(__xludf.DUMMYFUNCTION("""COMPUTED_VALUE"""),46174.0)</f>
        <v>46174</v>
      </c>
      <c r="K243" s="10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7" t="str">
        <f>IFERROR(__xludf.DUMMYFUNCTION("""COMPUTED_VALUE"""),"Hennings")</f>
        <v>Hennings</v>
      </c>
      <c r="B244" s="8" t="str">
        <f>IFERROR(__xludf.DUMMYFUNCTION("""COMPUTED_VALUE"""),"Steven")</f>
        <v>Steven</v>
      </c>
      <c r="C244" s="8" t="str">
        <f>IFERROR(__xludf.DUMMYFUNCTION("""COMPUTED_VALUE"""),"Davenport")</f>
        <v>Davenport</v>
      </c>
      <c r="D244" s="8" t="str">
        <f>IFERROR(__xludf.DUMMYFUNCTION("""COMPUTED_VALUE"""),"IA")</f>
        <v>IA</v>
      </c>
      <c r="E244" s="8" t="str">
        <f>IFERROR(__xludf.DUMMYFUNCTION("""COMPUTED_VALUE"""),"USA")</f>
        <v>USA</v>
      </c>
      <c r="F244" s="8" t="str">
        <f>IFERROR(__xludf.DUMMYFUNCTION("""COMPUTED_VALUE"""),"Pro 501 Dbls")</f>
        <v>Pro 501 Dbls</v>
      </c>
      <c r="G244" s="8" t="str">
        <f>IFERROR(__xludf.DUMMYFUNCTION("""COMPUTED_VALUE"""),"3rd")</f>
        <v>3rd</v>
      </c>
      <c r="H244" s="8" t="str">
        <f>IFERROR(__xludf.DUMMYFUNCTION("""COMPUTED_VALUE"""),"NE BS 38")</f>
        <v>NE BS 38</v>
      </c>
      <c r="I244" s="9">
        <f>IFERROR(__xludf.DUMMYFUNCTION("""COMPUTED_VALUE"""),45444.0)</f>
        <v>45444</v>
      </c>
      <c r="J244" s="9">
        <f>IFERROR(__xludf.DUMMYFUNCTION("""COMPUTED_VALUE"""),46539.0)</f>
        <v>46539</v>
      </c>
      <c r="K244" s="10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7" t="str">
        <f>IFERROR(__xludf.DUMMYFUNCTION("""COMPUTED_VALUE"""),"Hensley")</f>
        <v>Hensley</v>
      </c>
      <c r="B245" s="8" t="str">
        <f>IFERROR(__xludf.DUMMYFUNCTION("""COMPUTED_VALUE"""),"Gregory")</f>
        <v>Gregory</v>
      </c>
      <c r="C245" s="8" t="str">
        <f>IFERROR(__xludf.DUMMYFUNCTION("""COMPUTED_VALUE"""),"Tampa")</f>
        <v>Tampa</v>
      </c>
      <c r="D245" s="8" t="str">
        <f>IFERROR(__xludf.DUMMYFUNCTION("""COMPUTED_VALUE"""),"FL")</f>
        <v>FL</v>
      </c>
      <c r="E245" s="8"/>
      <c r="F245" s="8" t="str">
        <f>IFERROR(__xludf.DUMMYFUNCTION("""COMPUTED_VALUE"""),"Men 501 Dbls")</f>
        <v>Men 501 Dbls</v>
      </c>
      <c r="G245" s="8" t="str">
        <f>IFERROR(__xludf.DUMMYFUNCTION("""COMPUTED_VALUE"""),"2nd")</f>
        <v>2nd</v>
      </c>
      <c r="H245" s="8" t="str">
        <f>IFERROR(__xludf.DUMMYFUNCTION("""COMPUTED_VALUE"""),"SC BS 38")</f>
        <v>SC BS 38</v>
      </c>
      <c r="I245" s="9">
        <f>IFERROR(__xludf.DUMMYFUNCTION("""COMPUTED_VALUE"""),45444.0)</f>
        <v>45444</v>
      </c>
      <c r="J245" s="9">
        <f>IFERROR(__xludf.DUMMYFUNCTION("""COMPUTED_VALUE"""),46539.0)</f>
        <v>46539</v>
      </c>
      <c r="K245" s="10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7" t="str">
        <f>IFERROR(__xludf.DUMMYFUNCTION("""COMPUTED_VALUE"""),"HERCULES")</f>
        <v>HERCULES</v>
      </c>
      <c r="B246" s="8" t="str">
        <f>IFERROR(__xludf.DUMMYFUNCTION("""COMPUTED_VALUE"""),"BRANDON")</f>
        <v>BRANDON</v>
      </c>
      <c r="C246" s="8" t="str">
        <f>IFERROR(__xludf.DUMMYFUNCTION("""COMPUTED_VALUE"""),"MCMECHEN")</f>
        <v>MCMECHEN</v>
      </c>
      <c r="D246" s="8" t="str">
        <f>IFERROR(__xludf.DUMMYFUNCTION("""COMPUTED_VALUE"""),"WV")</f>
        <v>WV</v>
      </c>
      <c r="E246" s="8" t="str">
        <f>IFERROR(__xludf.DUMMYFUNCTION("""COMPUTED_VALUE"""),"USA")</f>
        <v>USA</v>
      </c>
      <c r="F246" s="8" t="str">
        <f>IFERROR(__xludf.DUMMYFUNCTION("""COMPUTED_VALUE"""),"MEN SINGLES")</f>
        <v>MEN SINGLES</v>
      </c>
      <c r="G246" s="8" t="str">
        <f>IFERROR(__xludf.DUMMYFUNCTION("""COMPUTED_VALUE"""),"3")</f>
        <v>3</v>
      </c>
      <c r="H246" s="8" t="str">
        <f>IFERROR(__xludf.DUMMYFUNCTION("""COMPUTED_VALUE"""),"BS 37 NY")</f>
        <v>BS 37 NY</v>
      </c>
      <c r="I246" s="9">
        <f>IFERROR(__xludf.DUMMYFUNCTION("""COMPUTED_VALUE"""),45078.0)</f>
        <v>45078</v>
      </c>
      <c r="J246" s="9">
        <f>IFERROR(__xludf.DUMMYFUNCTION("""COMPUTED_VALUE"""),46174.0)</f>
        <v>46174</v>
      </c>
      <c r="K246" s="10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7" t="str">
        <f>IFERROR(__xludf.DUMMYFUNCTION("""COMPUTED_VALUE"""),"HERMAN")</f>
        <v>HERMAN</v>
      </c>
      <c r="B247" s="8" t="str">
        <f>IFERROR(__xludf.DUMMYFUNCTION("""COMPUTED_VALUE"""),"JOHN")</f>
        <v>JOHN</v>
      </c>
      <c r="C247" s="8" t="str">
        <f>IFERROR(__xludf.DUMMYFUNCTION("""COMPUTED_VALUE"""),"POCAHOTAS")</f>
        <v>POCAHOTAS</v>
      </c>
      <c r="D247" s="8" t="str">
        <f>IFERROR(__xludf.DUMMYFUNCTION("""COMPUTED_VALUE"""),"IA")</f>
        <v>IA</v>
      </c>
      <c r="E247" s="8" t="str">
        <f>IFERROR(__xludf.DUMMYFUNCTION("""COMPUTED_VALUE"""),"USA")</f>
        <v>USA</v>
      </c>
      <c r="F247" s="8" t="str">
        <f>IFERROR(__xludf.DUMMYFUNCTION("""COMPUTED_VALUE"""),"MIXED TRIPLES 701")</f>
        <v>MIXED TRIPLES 701</v>
      </c>
      <c r="G247" s="8" t="str">
        <f>IFERROR(__xludf.DUMMYFUNCTION("""COMPUTED_VALUE"""),"1ST")</f>
        <v>1ST</v>
      </c>
      <c r="H247" s="8" t="str">
        <f>IFERROR(__xludf.DUMMYFUNCTION("""COMPUTED_VALUE"""),"BS 36 REGIONAL NE")</f>
        <v>BS 36 REGIONAL NE</v>
      </c>
      <c r="I247" s="9">
        <f>IFERROR(__xludf.DUMMYFUNCTION("""COMPUTED_VALUE"""),44713.0)</f>
        <v>44713</v>
      </c>
      <c r="J247" s="9">
        <f>IFERROR(__xludf.DUMMYFUNCTION("""COMPUTED_VALUE"""),45809.0)</f>
        <v>45809</v>
      </c>
      <c r="K247" s="10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7" t="str">
        <f>IFERROR(__xludf.DUMMYFUNCTION("""COMPUTED_VALUE"""),"Herrera")</f>
        <v>Herrera</v>
      </c>
      <c r="B248" s="8" t="str">
        <f>IFERROR(__xludf.DUMMYFUNCTION("""COMPUTED_VALUE"""),"Rueben")</f>
        <v>Rueben</v>
      </c>
      <c r="C248" s="8" t="str">
        <f>IFERROR(__xludf.DUMMYFUNCTION("""COMPUTED_VALUE"""),"San Diego")</f>
        <v>San Diego</v>
      </c>
      <c r="D248" s="8" t="str">
        <f>IFERROR(__xludf.DUMMYFUNCTION("""COMPUTED_VALUE"""),"CA")</f>
        <v>CA</v>
      </c>
      <c r="E248" s="8"/>
      <c r="F248" s="8" t="str">
        <f>IFERROR(__xludf.DUMMYFUNCTION("""COMPUTED_VALUE"""),"Pro Singles")</f>
        <v>Pro Singles</v>
      </c>
      <c r="G248" s="8" t="str">
        <f>IFERROR(__xludf.DUMMYFUNCTION("""COMPUTED_VALUE"""),"1st")</f>
        <v>1st</v>
      </c>
      <c r="H248" s="8" t="str">
        <f>IFERROR(__xludf.DUMMYFUNCTION("""COMPUTED_VALUE"""),"AZ BS 38")</f>
        <v>AZ BS 38</v>
      </c>
      <c r="I248" s="9">
        <f>IFERROR(__xludf.DUMMYFUNCTION("""COMPUTED_VALUE"""),45444.0)</f>
        <v>45444</v>
      </c>
      <c r="J248" s="9">
        <f>IFERROR(__xludf.DUMMYFUNCTION("""COMPUTED_VALUE"""),46539.0)</f>
        <v>46539</v>
      </c>
      <c r="K248" s="10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7" t="str">
        <f>IFERROR(__xludf.DUMMYFUNCTION("""COMPUTED_VALUE"""),"HETTENHOUSER")</f>
        <v>HETTENHOUSER</v>
      </c>
      <c r="B249" s="8" t="str">
        <f>IFERROR(__xludf.DUMMYFUNCTION("""COMPUTED_VALUE"""),"KEVIN")</f>
        <v>KEVIN</v>
      </c>
      <c r="C249" s="8" t="str">
        <f>IFERROR(__xludf.DUMMYFUNCTION("""COMPUTED_VALUE"""),"MARBLE HILL")</f>
        <v>MARBLE HILL</v>
      </c>
      <c r="D249" s="8" t="str">
        <f>IFERROR(__xludf.DUMMYFUNCTION("""COMPUTED_VALUE"""),"MO")</f>
        <v>MO</v>
      </c>
      <c r="E249" s="8" t="str">
        <f>IFERROR(__xludf.DUMMYFUNCTION("""COMPUTED_VALUE"""),"USA")</f>
        <v>USA</v>
      </c>
      <c r="F249" s="8" t="str">
        <f>IFERROR(__xludf.DUMMYFUNCTION("""COMPUTED_VALUE"""),"MENS DBLS 501")</f>
        <v>MENS DBLS 501</v>
      </c>
      <c r="G249" s="8" t="str">
        <f>IFERROR(__xludf.DUMMYFUNCTION("""COMPUTED_VALUE"""),"3RD")</f>
        <v>3RD</v>
      </c>
      <c r="H249" s="8" t="str">
        <f>IFERROR(__xludf.DUMMYFUNCTION("""COMPUTED_VALUE"""),"BS 36 REGIONAL IN")</f>
        <v>BS 36 REGIONAL IN</v>
      </c>
      <c r="I249" s="9">
        <f>IFERROR(__xludf.DUMMYFUNCTION("""COMPUTED_VALUE"""),44713.0)</f>
        <v>44713</v>
      </c>
      <c r="J249" s="9">
        <f>IFERROR(__xludf.DUMMYFUNCTION("""COMPUTED_VALUE"""),45809.0)</f>
        <v>45809</v>
      </c>
      <c r="K249" s="10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7" t="str">
        <f>IFERROR(__xludf.DUMMYFUNCTION("""COMPUTED_VALUE"""),"Hewitt")</f>
        <v>Hewitt</v>
      </c>
      <c r="B250" s="8" t="str">
        <f>IFERROR(__xludf.DUMMYFUNCTION("""COMPUTED_VALUE"""),"Pat")</f>
        <v>Pat</v>
      </c>
      <c r="C250" s="8" t="str">
        <f>IFERROR(__xludf.DUMMYFUNCTION("""COMPUTED_VALUE"""),"Swansea")</f>
        <v>Swansea</v>
      </c>
      <c r="D250" s="8" t="str">
        <f>IFERROR(__xludf.DUMMYFUNCTION("""COMPUTED_VALUE"""),"SC")</f>
        <v>SC</v>
      </c>
      <c r="E250" s="8" t="str">
        <f>IFERROR(__xludf.DUMMYFUNCTION("""COMPUTED_VALUE"""),"USA")</f>
        <v>USA</v>
      </c>
      <c r="F250" s="8" t="str">
        <f>IFERROR(__xludf.DUMMYFUNCTION("""COMPUTED_VALUE"""),"Pro Singles")</f>
        <v>Pro Singles</v>
      </c>
      <c r="G250" s="8" t="str">
        <f>IFERROR(__xludf.DUMMYFUNCTION("""COMPUTED_VALUE"""),"2nd")</f>
        <v>2nd</v>
      </c>
      <c r="H250" s="8" t="str">
        <f>IFERROR(__xludf.DUMMYFUNCTION("""COMPUTED_VALUE"""),"Known Ability")</f>
        <v>Known Ability</v>
      </c>
      <c r="I250" s="9">
        <f>IFERROR(__xludf.DUMMYFUNCTION("""COMPUTED_VALUE"""),42765.0)</f>
        <v>42765</v>
      </c>
      <c r="J250" s="9">
        <f>IFERROR(__xludf.DUMMYFUNCTION("""COMPUTED_VALUE"""),47635.0)</f>
        <v>47635</v>
      </c>
      <c r="K250" s="10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7" t="str">
        <f>IFERROR(__xludf.DUMMYFUNCTION("""COMPUTED_VALUE"""),"Hicks")</f>
        <v>Hicks</v>
      </c>
      <c r="B251" s="8" t="str">
        <f>IFERROR(__xludf.DUMMYFUNCTION("""COMPUTED_VALUE"""),"Hossey")</f>
        <v>Hossey</v>
      </c>
      <c r="C251" s="8"/>
      <c r="D251" s="8"/>
      <c r="E251" s="8"/>
      <c r="F251" s="8" t="str">
        <f>IFERROR(__xludf.DUMMYFUNCTION("""COMPUTED_VALUE"""),"ADO Top 20 2021")</f>
        <v>ADO Top 20 2021</v>
      </c>
      <c r="G251" s="8"/>
      <c r="H251" s="8"/>
      <c r="I251" s="9">
        <f>IFERROR(__xludf.DUMMYFUNCTION("""COMPUTED_VALUE"""),44348.0)</f>
        <v>44348</v>
      </c>
      <c r="J251" s="9">
        <f>IFERROR(__xludf.DUMMYFUNCTION("""COMPUTED_VALUE"""),46539.0)</f>
        <v>46539</v>
      </c>
      <c r="K251" s="10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7" t="str">
        <f>IFERROR(__xludf.DUMMYFUNCTION("""COMPUTED_VALUE"""),"Hilger")</f>
        <v>Hilger</v>
      </c>
      <c r="B252" s="8" t="str">
        <f>IFERROR(__xludf.DUMMYFUNCTION("""COMPUTED_VALUE"""),"Steve")</f>
        <v>Steve</v>
      </c>
      <c r="C252" s="8" t="str">
        <f>IFERROR(__xludf.DUMMYFUNCTION("""COMPUTED_VALUE"""),"Menomonee Falls")</f>
        <v>Menomonee Falls</v>
      </c>
      <c r="D252" s="8" t="str">
        <f>IFERROR(__xludf.DUMMYFUNCTION("""COMPUTED_VALUE"""),"WI")</f>
        <v>WI</v>
      </c>
      <c r="E252" s="8" t="str">
        <f>IFERROR(__xludf.DUMMYFUNCTION("""COMPUTED_VALUE"""),"USA")</f>
        <v>USA</v>
      </c>
      <c r="F252" s="8" t="str">
        <f>IFERROR(__xludf.DUMMYFUNCTION("""COMPUTED_VALUE"""),"Pro Cricket Doubles")</f>
        <v>Pro Cricket Doubles</v>
      </c>
      <c r="G252" s="8" t="str">
        <f>IFERROR(__xludf.DUMMYFUNCTION("""COMPUTED_VALUE"""),"1st")</f>
        <v>1st</v>
      </c>
      <c r="H252" s="8" t="str">
        <f>IFERROR(__xludf.DUMMYFUNCTION("""COMPUTED_VALUE"""),"BullShooter 34 Finals")</f>
        <v>BullShooter 34 Finals</v>
      </c>
      <c r="I252" s="9">
        <f>IFERROR(__xludf.DUMMYFUNCTION("""COMPUTED_VALUE"""),43617.0)</f>
        <v>43617</v>
      </c>
      <c r="J252" s="9">
        <f>IFERROR(__xludf.DUMMYFUNCTION("""COMPUTED_VALUE"""),45809.0)</f>
        <v>45809</v>
      </c>
      <c r="K252" s="10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7" t="str">
        <f>IFERROR(__xludf.DUMMYFUNCTION("""COMPUTED_VALUE"""),"Hill")</f>
        <v>Hill</v>
      </c>
      <c r="B253" s="8" t="str">
        <f>IFERROR(__xludf.DUMMYFUNCTION("""COMPUTED_VALUE"""),"Eric")</f>
        <v>Eric</v>
      </c>
      <c r="C253" s="8" t="str">
        <f>IFERROR(__xludf.DUMMYFUNCTION("""COMPUTED_VALUE"""),"Pinconning")</f>
        <v>Pinconning</v>
      </c>
      <c r="D253" s="8" t="str">
        <f>IFERROR(__xludf.DUMMYFUNCTION("""COMPUTED_VALUE"""),"MI")</f>
        <v>MI</v>
      </c>
      <c r="E253" s="8" t="str">
        <f>IFERROR(__xludf.DUMMYFUNCTION("""COMPUTED_VALUE"""),"USA")</f>
        <v>USA</v>
      </c>
      <c r="F253" s="8" t="str">
        <f>IFERROR(__xludf.DUMMYFUNCTION("""COMPUTED_VALUE"""),"Pro 501 Doubles")</f>
        <v>Pro 501 Doubles</v>
      </c>
      <c r="G253" s="8" t="str">
        <f>IFERROR(__xludf.DUMMYFUNCTION("""COMPUTED_VALUE"""),"2nd")</f>
        <v>2nd</v>
      </c>
      <c r="H253" s="8" t="str">
        <f>IFERROR(__xludf.DUMMYFUNCTION("""COMPUTED_VALUE"""),"BullShooter 34 Finals")</f>
        <v>BullShooter 34 Finals</v>
      </c>
      <c r="I253" s="9">
        <f>IFERROR(__xludf.DUMMYFUNCTION("""COMPUTED_VALUE"""),43617.0)</f>
        <v>43617</v>
      </c>
      <c r="J253" s="9">
        <f>IFERROR(__xludf.DUMMYFUNCTION("""COMPUTED_VALUE"""),45809.0)</f>
        <v>45809</v>
      </c>
      <c r="K253" s="10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7" t="str">
        <f>IFERROR(__xludf.DUMMYFUNCTION("""COMPUTED_VALUE"""),"HILL")</f>
        <v>HILL</v>
      </c>
      <c r="B254" s="8" t="str">
        <f>IFERROR(__xludf.DUMMYFUNCTION("""COMPUTED_VALUE"""),"JASON")</f>
        <v>JASON</v>
      </c>
      <c r="C254" s="8" t="str">
        <f>IFERROR(__xludf.DUMMYFUNCTION("""COMPUTED_VALUE"""),"OSHKOSH")</f>
        <v>OSHKOSH</v>
      </c>
      <c r="D254" s="8" t="str">
        <f>IFERROR(__xludf.DUMMYFUNCTION("""COMPUTED_VALUE"""),"WI")</f>
        <v>WI</v>
      </c>
      <c r="E254" s="8" t="str">
        <f>IFERROR(__xludf.DUMMYFUNCTION("""COMPUTED_VALUE"""),"USA")</f>
        <v>USA</v>
      </c>
      <c r="F254" s="8" t="str">
        <f>IFERROR(__xludf.DUMMYFUNCTION("""COMPUTED_VALUE"""),"MEN 501 DBLS")</f>
        <v>MEN 501 DBLS</v>
      </c>
      <c r="G254" s="8" t="str">
        <f>IFERROR(__xludf.DUMMYFUNCTION("""COMPUTED_VALUE"""),"3")</f>
        <v>3</v>
      </c>
      <c r="H254" s="8" t="str">
        <f>IFERROR(__xludf.DUMMYFUNCTION("""COMPUTED_VALUE"""),"BS 37 FINALS")</f>
        <v>BS 37 FINALS</v>
      </c>
      <c r="I254" s="9">
        <f>IFERROR(__xludf.DUMMYFUNCTION("""COMPUTED_VALUE"""),45078.0)</f>
        <v>45078</v>
      </c>
      <c r="J254" s="9">
        <f>IFERROR(__xludf.DUMMYFUNCTION("""COMPUTED_VALUE"""),46174.0)</f>
        <v>46174</v>
      </c>
      <c r="K254" s="1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7" t="str">
        <f>IFERROR(__xludf.DUMMYFUNCTION("""COMPUTED_VALUE"""),"HILLIARD")</f>
        <v>HILLIARD</v>
      </c>
      <c r="B255" s="8" t="str">
        <f>IFERROR(__xludf.DUMMYFUNCTION("""COMPUTED_VALUE"""),"JASON")</f>
        <v>JASON</v>
      </c>
      <c r="C255" s="8" t="str">
        <f>IFERROR(__xludf.DUMMYFUNCTION("""COMPUTED_VALUE"""),"WINNEBAGO")</f>
        <v>WINNEBAGO</v>
      </c>
      <c r="D255" s="8" t="str">
        <f>IFERROR(__xludf.DUMMYFUNCTION("""COMPUTED_VALUE"""),"IL")</f>
        <v>IL</v>
      </c>
      <c r="E255" s="8" t="str">
        <f>IFERROR(__xludf.DUMMYFUNCTION("""COMPUTED_VALUE"""),"USA")</f>
        <v>USA</v>
      </c>
      <c r="F255" s="8" t="str">
        <f>IFERROR(__xludf.DUMMYFUNCTION("""COMPUTED_VALUE"""),"MEN CRICKET DBLS")</f>
        <v>MEN CRICKET DBLS</v>
      </c>
      <c r="G255" s="8" t="str">
        <f>IFERROR(__xludf.DUMMYFUNCTION("""COMPUTED_VALUE"""),"4")</f>
        <v>4</v>
      </c>
      <c r="H255" s="8" t="str">
        <f>IFERROR(__xludf.DUMMYFUNCTION("""COMPUTED_VALUE"""),"BS 37 FINALS")</f>
        <v>BS 37 FINALS</v>
      </c>
      <c r="I255" s="9">
        <f>IFERROR(__xludf.DUMMYFUNCTION("""COMPUTED_VALUE"""),45078.0)</f>
        <v>45078</v>
      </c>
      <c r="J255" s="9">
        <f>IFERROR(__xludf.DUMMYFUNCTION("""COMPUTED_VALUE"""),46174.0)</f>
        <v>46174</v>
      </c>
      <c r="K255" s="1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7" t="str">
        <f>IFERROR(__xludf.DUMMYFUNCTION("""COMPUTED_VALUE"""),"Hinkle")</f>
        <v>Hinkle</v>
      </c>
      <c r="B256" s="8" t="str">
        <f>IFERROR(__xludf.DUMMYFUNCTION("""COMPUTED_VALUE"""),"Derek")</f>
        <v>Derek</v>
      </c>
      <c r="C256" s="8" t="str">
        <f>IFERROR(__xludf.DUMMYFUNCTION("""COMPUTED_VALUE"""),"St Joseph")</f>
        <v>St Joseph</v>
      </c>
      <c r="D256" s="8" t="str">
        <f>IFERROR(__xludf.DUMMYFUNCTION("""COMPUTED_VALUE"""),"MO")</f>
        <v>MO</v>
      </c>
      <c r="E256" s="8"/>
      <c r="F256" s="8" t="str">
        <f>IFERROR(__xludf.DUMMYFUNCTION("""COMPUTED_VALUE"""),"Pro Singles")</f>
        <v>Pro Singles</v>
      </c>
      <c r="G256" s="8" t="str">
        <f>IFERROR(__xludf.DUMMYFUNCTION("""COMPUTED_VALUE"""),"2nd")</f>
        <v>2nd</v>
      </c>
      <c r="H256" s="8" t="str">
        <f>IFERROR(__xludf.DUMMYFUNCTION("""COMPUTED_VALUE"""),"TX BS 38")</f>
        <v>TX BS 38</v>
      </c>
      <c r="I256" s="9">
        <f>IFERROR(__xludf.DUMMYFUNCTION("""COMPUTED_VALUE"""),45444.0)</f>
        <v>45444</v>
      </c>
      <c r="J256" s="9">
        <f>IFERROR(__xludf.DUMMYFUNCTION("""COMPUTED_VALUE"""),46539.0)</f>
        <v>46539</v>
      </c>
      <c r="K256" s="1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7" t="str">
        <f>IFERROR(__xludf.DUMMYFUNCTION("""COMPUTED_VALUE"""),"HIRACHETA")</f>
        <v>HIRACHETA</v>
      </c>
      <c r="B257" s="8" t="str">
        <f>IFERROR(__xludf.DUMMYFUNCTION("""COMPUTED_VALUE"""),"ROY")</f>
        <v>ROY</v>
      </c>
      <c r="C257" s="8" t="str">
        <f>IFERROR(__xludf.DUMMYFUNCTION("""COMPUTED_VALUE"""),"WADDELL")</f>
        <v>WADDELL</v>
      </c>
      <c r="D257" s="8" t="str">
        <f>IFERROR(__xludf.DUMMYFUNCTION("""COMPUTED_VALUE"""),"AZ")</f>
        <v>AZ</v>
      </c>
      <c r="E257" s="8" t="str">
        <f>IFERROR(__xludf.DUMMYFUNCTION("""COMPUTED_VALUE"""),"USA")</f>
        <v>USA</v>
      </c>
      <c r="F257" s="8" t="str">
        <f>IFERROR(__xludf.DUMMYFUNCTION("""COMPUTED_VALUE"""),"MENS DBLS CRICKET")</f>
        <v>MENS DBLS CRICKET</v>
      </c>
      <c r="G257" s="8" t="str">
        <f>IFERROR(__xludf.DUMMYFUNCTION("""COMPUTED_VALUE"""),"2ND")</f>
        <v>2ND</v>
      </c>
      <c r="H257" s="8" t="str">
        <f>IFERROR(__xludf.DUMMYFUNCTION("""COMPUTED_VALUE"""),"BS 36 REGIONAL AZ")</f>
        <v>BS 36 REGIONAL AZ</v>
      </c>
      <c r="I257" s="9">
        <f>IFERROR(__xludf.DUMMYFUNCTION("""COMPUTED_VALUE"""),44713.0)</f>
        <v>44713</v>
      </c>
      <c r="J257" s="9">
        <f>IFERROR(__xludf.DUMMYFUNCTION("""COMPUTED_VALUE"""),45809.0)</f>
        <v>45809</v>
      </c>
      <c r="K257" s="1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7" t="str">
        <f>IFERROR(__xludf.DUMMYFUNCTION("""COMPUTED_VALUE"""),"HOEM")</f>
        <v>HOEM</v>
      </c>
      <c r="B258" s="8" t="str">
        <f>IFERROR(__xludf.DUMMYFUNCTION("""COMPUTED_VALUE"""),"DAVID")</f>
        <v>DAVID</v>
      </c>
      <c r="C258" s="8" t="str">
        <f>IFERROR(__xludf.DUMMYFUNCTION("""COMPUTED_VALUE"""),"CHEYENNE")</f>
        <v>CHEYENNE</v>
      </c>
      <c r="D258" s="8" t="str">
        <f>IFERROR(__xludf.DUMMYFUNCTION("""COMPUTED_VALUE"""),"WY")</f>
        <v>WY</v>
      </c>
      <c r="E258" s="8" t="str">
        <f>IFERROR(__xludf.DUMMYFUNCTION("""COMPUTED_VALUE"""),"USA")</f>
        <v>USA</v>
      </c>
      <c r="F258" s="8" t="str">
        <f>IFERROR(__xludf.DUMMYFUNCTION("""COMPUTED_VALUE"""),"MENS DBLS 501")</f>
        <v>MENS DBLS 501</v>
      </c>
      <c r="G258" s="8" t="str">
        <f>IFERROR(__xludf.DUMMYFUNCTION("""COMPUTED_VALUE"""),"3RD")</f>
        <v>3RD</v>
      </c>
      <c r="H258" s="8" t="str">
        <f>IFERROR(__xludf.DUMMYFUNCTION("""COMPUTED_VALUE"""),"BS 36 REGIONAL WY")</f>
        <v>BS 36 REGIONAL WY</v>
      </c>
      <c r="I258" s="9">
        <f>IFERROR(__xludf.DUMMYFUNCTION("""COMPUTED_VALUE"""),44713.0)</f>
        <v>44713</v>
      </c>
      <c r="J258" s="9">
        <f>IFERROR(__xludf.DUMMYFUNCTION("""COMPUTED_VALUE"""),45809.0)</f>
        <v>45809</v>
      </c>
      <c r="K258" s="10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7" t="str">
        <f>IFERROR(__xludf.DUMMYFUNCTION("""COMPUTED_VALUE"""),"HOINEY")</f>
        <v>HOINEY</v>
      </c>
      <c r="B259" s="8" t="str">
        <f>IFERROR(__xludf.DUMMYFUNCTION("""COMPUTED_VALUE"""),"MATHEW")</f>
        <v>MATHEW</v>
      </c>
      <c r="C259" s="8" t="str">
        <f>IFERROR(__xludf.DUMMYFUNCTION("""COMPUTED_VALUE"""),"NORTH BEND")</f>
        <v>NORTH BEND</v>
      </c>
      <c r="D259" s="8" t="str">
        <f>IFERROR(__xludf.DUMMYFUNCTION("""COMPUTED_VALUE"""),"OH")</f>
        <v>OH</v>
      </c>
      <c r="E259" s="8" t="str">
        <f>IFERROR(__xludf.DUMMYFUNCTION("""COMPUTED_VALUE"""),"USA")</f>
        <v>USA</v>
      </c>
      <c r="F259" s="8" t="str">
        <f>IFERROR(__xludf.DUMMYFUNCTION("""COMPUTED_VALUE"""),"PRO/AM CRICKET")</f>
        <v>PRO/AM CRICKET</v>
      </c>
      <c r="G259" s="8" t="str">
        <f>IFERROR(__xludf.DUMMYFUNCTION("""COMPUTED_VALUE"""),"1")</f>
        <v>1</v>
      </c>
      <c r="H259" s="8" t="str">
        <f>IFERROR(__xludf.DUMMYFUNCTION("""COMPUTED_VALUE"""),"BS 37 OH")</f>
        <v>BS 37 OH</v>
      </c>
      <c r="I259" s="9">
        <f>IFERROR(__xludf.DUMMYFUNCTION("""COMPUTED_VALUE"""),45078.0)</f>
        <v>45078</v>
      </c>
      <c r="J259" s="9">
        <f>IFERROR(__xludf.DUMMYFUNCTION("""COMPUTED_VALUE"""),46174.0)</f>
        <v>46174</v>
      </c>
      <c r="K259" s="10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7" t="str">
        <f>IFERROR(__xludf.DUMMYFUNCTION("""COMPUTED_VALUE"""),"HOLINDAY")</f>
        <v>HOLINDAY</v>
      </c>
      <c r="B260" s="8" t="str">
        <f>IFERROR(__xludf.DUMMYFUNCTION("""COMPUTED_VALUE"""),"BRETT")</f>
        <v>BRETT</v>
      </c>
      <c r="C260" s="8" t="str">
        <f>IFERROR(__xludf.DUMMYFUNCTION("""COMPUTED_VALUE"""),"DULUTH")</f>
        <v>DULUTH</v>
      </c>
      <c r="D260" s="8" t="str">
        <f>IFERROR(__xludf.DUMMYFUNCTION("""COMPUTED_VALUE"""),"MN")</f>
        <v>MN</v>
      </c>
      <c r="E260" s="8" t="str">
        <f>IFERROR(__xludf.DUMMYFUNCTION("""COMPUTED_VALUE"""),"USA")</f>
        <v>USA</v>
      </c>
      <c r="F260" s="8" t="str">
        <f>IFERROR(__xludf.DUMMYFUNCTION("""COMPUTED_VALUE"""),"MENS SINGLES CRICKET")</f>
        <v>MENS SINGLES CRICKET</v>
      </c>
      <c r="G260" s="8" t="str">
        <f>IFERROR(__xludf.DUMMYFUNCTION("""COMPUTED_VALUE"""),"1ST")</f>
        <v>1ST</v>
      </c>
      <c r="H260" s="8" t="str">
        <f>IFERROR(__xludf.DUMMYFUNCTION("""COMPUTED_VALUE"""),"BS 36 REGIONAL SC")</f>
        <v>BS 36 REGIONAL SC</v>
      </c>
      <c r="I260" s="9">
        <f>IFERROR(__xludf.DUMMYFUNCTION("""COMPUTED_VALUE"""),44713.0)</f>
        <v>44713</v>
      </c>
      <c r="J260" s="9">
        <f>IFERROR(__xludf.DUMMYFUNCTION("""COMPUTED_VALUE"""),45809.0)</f>
        <v>45809</v>
      </c>
      <c r="K260" s="10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7" t="str">
        <f>IFERROR(__xludf.DUMMYFUNCTION("""COMPUTED_VALUE"""),"Holmes")</f>
        <v>Holmes</v>
      </c>
      <c r="B261" s="8" t="str">
        <f>IFERROR(__xludf.DUMMYFUNCTION("""COMPUTED_VALUE"""),"Bruce")</f>
        <v>Bruce</v>
      </c>
      <c r="C261" s="8" t="str">
        <f>IFERROR(__xludf.DUMMYFUNCTION("""COMPUTED_VALUE"""),"Oshkosh")</f>
        <v>Oshkosh</v>
      </c>
      <c r="D261" s="8" t="str">
        <f>IFERROR(__xludf.DUMMYFUNCTION("""COMPUTED_VALUE"""),"WI")</f>
        <v>WI</v>
      </c>
      <c r="E261" s="8" t="str">
        <f>IFERROR(__xludf.DUMMYFUNCTION("""COMPUTED_VALUE"""),"USA")</f>
        <v>USA</v>
      </c>
      <c r="F261" s="8" t="str">
        <f>IFERROR(__xludf.DUMMYFUNCTION("""COMPUTED_VALUE"""),"Known Pro")</f>
        <v>Known Pro</v>
      </c>
      <c r="G261" s="8"/>
      <c r="H261" s="8" t="str">
        <f>IFERROR(__xludf.DUMMYFUNCTION("""COMPUTED_VALUE"""),"Known Ability")</f>
        <v>Known Ability</v>
      </c>
      <c r="I261" s="9">
        <f>IFERROR(__xludf.DUMMYFUNCTION("""COMPUTED_VALUE"""),36892.0)</f>
        <v>36892</v>
      </c>
      <c r="J261" s="9">
        <f>IFERROR(__xludf.DUMMYFUNCTION("""COMPUTED_VALUE"""),47635.0)</f>
        <v>47635</v>
      </c>
      <c r="K261" s="1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7" t="str">
        <f>IFERROR(__xludf.DUMMYFUNCTION("""COMPUTED_VALUE"""),"HOLMES")</f>
        <v>HOLMES</v>
      </c>
      <c r="B262" s="8" t="str">
        <f>IFERROR(__xludf.DUMMYFUNCTION("""COMPUTED_VALUE"""),"ERIC")</f>
        <v>ERIC</v>
      </c>
      <c r="C262" s="8" t="str">
        <f>IFERROR(__xludf.DUMMYFUNCTION("""COMPUTED_VALUE"""),"HUMBLE")</f>
        <v>HUMBLE</v>
      </c>
      <c r="D262" s="8" t="str">
        <f>IFERROR(__xludf.DUMMYFUNCTION("""COMPUTED_VALUE"""),"TX")</f>
        <v>TX</v>
      </c>
      <c r="E262" s="8" t="str">
        <f>IFERROR(__xludf.DUMMYFUNCTION("""COMPUTED_VALUE"""),"USA")</f>
        <v>USA</v>
      </c>
      <c r="F262" s="8" t="str">
        <f>IFERROR(__xludf.DUMMYFUNCTION("""COMPUTED_VALUE"""),"PRO SINGLES")</f>
        <v>PRO SINGLES</v>
      </c>
      <c r="G262" s="8" t="str">
        <f>IFERROR(__xludf.DUMMYFUNCTION("""COMPUTED_VALUE"""),"2")</f>
        <v>2</v>
      </c>
      <c r="H262" s="8" t="str">
        <f>IFERROR(__xludf.DUMMYFUNCTION("""COMPUTED_VALUE"""),"BS 37 TX")</f>
        <v>BS 37 TX</v>
      </c>
      <c r="I262" s="9">
        <f>IFERROR(__xludf.DUMMYFUNCTION("""COMPUTED_VALUE"""),45078.0)</f>
        <v>45078</v>
      </c>
      <c r="J262" s="9">
        <f>IFERROR(__xludf.DUMMYFUNCTION("""COMPUTED_VALUE"""),46174.0)</f>
        <v>46174</v>
      </c>
      <c r="K262" s="10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7" t="str">
        <f>IFERROR(__xludf.DUMMYFUNCTION("""COMPUTED_VALUE"""),"Hook")</f>
        <v>Hook</v>
      </c>
      <c r="B263" s="8" t="str">
        <f>IFERROR(__xludf.DUMMYFUNCTION("""COMPUTED_VALUE"""),"Stetson")</f>
        <v>Stetson</v>
      </c>
      <c r="C263" s="8" t="str">
        <f>IFERROR(__xludf.DUMMYFUNCTION("""COMPUTED_VALUE"""),"Moscow")</f>
        <v>Moscow</v>
      </c>
      <c r="D263" s="8" t="str">
        <f>IFERROR(__xludf.DUMMYFUNCTION("""COMPUTED_VALUE"""),"ID")</f>
        <v>ID</v>
      </c>
      <c r="E263" s="8" t="str">
        <f>IFERROR(__xludf.DUMMYFUNCTION("""COMPUTED_VALUE"""),"USA")</f>
        <v>USA</v>
      </c>
      <c r="F263" s="8" t="str">
        <f>IFERROR(__xludf.DUMMYFUNCTION("""COMPUTED_VALUE"""),"Men Cricket Dbls")</f>
        <v>Men Cricket Dbls</v>
      </c>
      <c r="G263" s="8" t="str">
        <f>IFERROR(__xludf.DUMMYFUNCTION("""COMPUTED_VALUE"""),"1st")</f>
        <v>1st</v>
      </c>
      <c r="H263" s="8" t="str">
        <f>IFERROR(__xludf.DUMMYFUNCTION("""COMPUTED_VALUE"""),"WA BS 38")</f>
        <v>WA BS 38</v>
      </c>
      <c r="I263" s="9">
        <f>IFERROR(__xludf.DUMMYFUNCTION("""COMPUTED_VALUE"""),45444.0)</f>
        <v>45444</v>
      </c>
      <c r="J263" s="9">
        <f>IFERROR(__xludf.DUMMYFUNCTION("""COMPUTED_VALUE"""),46539.0)</f>
        <v>46539</v>
      </c>
      <c r="K263" s="10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7" t="str">
        <f>IFERROR(__xludf.DUMMYFUNCTION("""COMPUTED_VALUE"""),"Hopkins")</f>
        <v>Hopkins</v>
      </c>
      <c r="B264" s="8" t="str">
        <f>IFERROR(__xludf.DUMMYFUNCTION("""COMPUTED_VALUE"""),"James")</f>
        <v>James</v>
      </c>
      <c r="C264" s="8" t="str">
        <f>IFERROR(__xludf.DUMMYFUNCTION("""COMPUTED_VALUE"""),"Randolph")</f>
        <v>Randolph</v>
      </c>
      <c r="D264" s="8" t="str">
        <f>IFERROR(__xludf.DUMMYFUNCTION("""COMPUTED_VALUE"""),"WI")</f>
        <v>WI</v>
      </c>
      <c r="E264" s="8" t="str">
        <f>IFERROR(__xludf.DUMMYFUNCTION("""COMPUTED_VALUE"""),"USA")</f>
        <v>USA</v>
      </c>
      <c r="F264" s="8" t="str">
        <f>IFERROR(__xludf.DUMMYFUNCTION("""COMPUTED_VALUE"""),"Men 501 Dbls")</f>
        <v>Men 501 Dbls</v>
      </c>
      <c r="G264" s="8" t="str">
        <f>IFERROR(__xludf.DUMMYFUNCTION("""COMPUTED_VALUE"""),"2nd")</f>
        <v>2nd</v>
      </c>
      <c r="H264" s="8" t="str">
        <f>IFERROR(__xludf.DUMMYFUNCTION("""COMPUTED_VALUE"""),"MI BS 38")</f>
        <v>MI BS 38</v>
      </c>
      <c r="I264" s="9">
        <f>IFERROR(__xludf.DUMMYFUNCTION("""COMPUTED_VALUE"""),45444.0)</f>
        <v>45444</v>
      </c>
      <c r="J264" s="9">
        <f>IFERROR(__xludf.DUMMYFUNCTION("""COMPUTED_VALUE"""),46539.0)</f>
        <v>46539</v>
      </c>
      <c r="K264" s="10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7" t="str">
        <f>IFERROR(__xludf.DUMMYFUNCTION("""COMPUTED_VALUE"""),"HOSELTON")</f>
        <v>HOSELTON</v>
      </c>
      <c r="B265" s="8" t="str">
        <f>IFERROR(__xludf.DUMMYFUNCTION("""COMPUTED_VALUE"""),"KEITH")</f>
        <v>KEITH</v>
      </c>
      <c r="C265" s="8" t="str">
        <f>IFERROR(__xludf.DUMMYFUNCTION("""COMPUTED_VALUE"""),"CIRCLEVILLE")</f>
        <v>CIRCLEVILLE</v>
      </c>
      <c r="D265" s="8" t="str">
        <f>IFERROR(__xludf.DUMMYFUNCTION("""COMPUTED_VALUE"""),"OH")</f>
        <v>OH</v>
      </c>
      <c r="E265" s="8" t="str">
        <f>IFERROR(__xludf.DUMMYFUNCTION("""COMPUTED_VALUE"""),"USA")</f>
        <v>USA</v>
      </c>
      <c r="F265" s="8" t="str">
        <f>IFERROR(__xludf.DUMMYFUNCTION("""COMPUTED_VALUE"""),"MEN 501 DBLS")</f>
        <v>MEN 501 DBLS</v>
      </c>
      <c r="G265" s="8" t="str">
        <f>IFERROR(__xludf.DUMMYFUNCTION("""COMPUTED_VALUE"""),"3")</f>
        <v>3</v>
      </c>
      <c r="H265" s="8" t="str">
        <f>IFERROR(__xludf.DUMMYFUNCTION("""COMPUTED_VALUE"""),"BS 37 OH")</f>
        <v>BS 37 OH</v>
      </c>
      <c r="I265" s="9">
        <f>IFERROR(__xludf.DUMMYFUNCTION("""COMPUTED_VALUE"""),45078.0)</f>
        <v>45078</v>
      </c>
      <c r="J265" s="9">
        <f>IFERROR(__xludf.DUMMYFUNCTION("""COMPUTED_VALUE"""),46174.0)</f>
        <v>46174</v>
      </c>
      <c r="K265" s="10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7" t="str">
        <f>IFERROR(__xludf.DUMMYFUNCTION("""COMPUTED_VALUE"""),"HOUGH")</f>
        <v>HOUGH</v>
      </c>
      <c r="B266" s="8" t="str">
        <f>IFERROR(__xludf.DUMMYFUNCTION("""COMPUTED_VALUE"""),"JIM")</f>
        <v>JIM</v>
      </c>
      <c r="C266" s="8"/>
      <c r="D266" s="8"/>
      <c r="E266" s="8" t="str">
        <f>IFERROR(__xludf.DUMMYFUNCTION("""COMPUTED_VALUE"""),"USA")</f>
        <v>USA</v>
      </c>
      <c r="F266" s="8" t="str">
        <f>IFERROR(__xludf.DUMMYFUNCTION("""COMPUTED_VALUE"""),"MEN'S SINGLES 501")</f>
        <v>MEN'S SINGLES 501</v>
      </c>
      <c r="G266" s="8" t="str">
        <f>IFERROR(__xludf.DUMMYFUNCTION("""COMPUTED_VALUE"""),"4TH")</f>
        <v>4TH</v>
      </c>
      <c r="H266" s="8" t="str">
        <f>IFERROR(__xludf.DUMMYFUNCTION("""COMPUTED_VALUE"""),"BULLSHOOTER 36 FINALS")</f>
        <v>BULLSHOOTER 36 FINALS</v>
      </c>
      <c r="I266" s="9">
        <f>IFERROR(__xludf.DUMMYFUNCTION("""COMPUTED_VALUE"""),44713.0)</f>
        <v>44713</v>
      </c>
      <c r="J266" s="9">
        <f>IFERROR(__xludf.DUMMYFUNCTION("""COMPUTED_VALUE"""),45809.0)</f>
        <v>45809</v>
      </c>
      <c r="K266" s="10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7" t="str">
        <f>IFERROR(__xludf.DUMMYFUNCTION("""COMPUTED_VALUE"""),"HOUSTON")</f>
        <v>HOUSTON</v>
      </c>
      <c r="B267" s="8" t="str">
        <f>IFERROR(__xludf.DUMMYFUNCTION("""COMPUTED_VALUE"""),"TIMOTHY")</f>
        <v>TIMOTHY</v>
      </c>
      <c r="C267" s="8" t="str">
        <f>IFERROR(__xludf.DUMMYFUNCTION("""COMPUTED_VALUE"""),"KEYSTONE HEIGHTS")</f>
        <v>KEYSTONE HEIGHTS</v>
      </c>
      <c r="D267" s="8" t="str">
        <f>IFERROR(__xludf.DUMMYFUNCTION("""COMPUTED_VALUE"""),"FL")</f>
        <v>FL</v>
      </c>
      <c r="E267" s="8" t="str">
        <f>IFERROR(__xludf.DUMMYFUNCTION("""COMPUTED_VALUE"""),"USA")</f>
        <v>USA</v>
      </c>
      <c r="F267" s="8" t="str">
        <f>IFERROR(__xludf.DUMMYFUNCTION("""COMPUTED_VALUE"""),"MENS DBLS 501")</f>
        <v>MENS DBLS 501</v>
      </c>
      <c r="G267" s="8" t="str">
        <f>IFERROR(__xludf.DUMMYFUNCTION("""COMPUTED_VALUE"""),"3RD")</f>
        <v>3RD</v>
      </c>
      <c r="H267" s="8" t="str">
        <f>IFERROR(__xludf.DUMMYFUNCTION("""COMPUTED_VALUE"""),"BS 36 REGIONAL TX")</f>
        <v>BS 36 REGIONAL TX</v>
      </c>
      <c r="I267" s="9">
        <f>IFERROR(__xludf.DUMMYFUNCTION("""COMPUTED_VALUE"""),44713.0)</f>
        <v>44713</v>
      </c>
      <c r="J267" s="9">
        <f>IFERROR(__xludf.DUMMYFUNCTION("""COMPUTED_VALUE"""),45809.0)</f>
        <v>45809</v>
      </c>
      <c r="K267" s="1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7" t="str">
        <f>IFERROR(__xludf.DUMMYFUNCTION("""COMPUTED_VALUE"""),"HOWELL")</f>
        <v>HOWELL</v>
      </c>
      <c r="B268" s="8" t="str">
        <f>IFERROR(__xludf.DUMMYFUNCTION("""COMPUTED_VALUE"""),"JACOB")</f>
        <v>JACOB</v>
      </c>
      <c r="C268" s="8" t="str">
        <f>IFERROR(__xludf.DUMMYFUNCTION("""COMPUTED_VALUE"""),"SAVANNA")</f>
        <v>SAVANNA</v>
      </c>
      <c r="D268" s="8" t="str">
        <f>IFERROR(__xludf.DUMMYFUNCTION("""COMPUTED_VALUE"""),"MO")</f>
        <v>MO</v>
      </c>
      <c r="E268" s="8" t="str">
        <f>IFERROR(__xludf.DUMMYFUNCTION("""COMPUTED_VALUE"""),"USA")</f>
        <v>USA</v>
      </c>
      <c r="F268" s="8" t="str">
        <f>IFERROR(__xludf.DUMMYFUNCTION("""COMPUTED_VALUE"""),"MEN CRICKET DBLS")</f>
        <v>MEN CRICKET DBLS</v>
      </c>
      <c r="G268" s="8" t="str">
        <f>IFERROR(__xludf.DUMMYFUNCTION("""COMPUTED_VALUE"""),"3")</f>
        <v>3</v>
      </c>
      <c r="H268" s="8" t="str">
        <f>IFERROR(__xludf.DUMMYFUNCTION("""COMPUTED_VALUE"""),"BS 37 NE")</f>
        <v>BS 37 NE</v>
      </c>
      <c r="I268" s="9">
        <f>IFERROR(__xludf.DUMMYFUNCTION("""COMPUTED_VALUE"""),45078.0)</f>
        <v>45078</v>
      </c>
      <c r="J268" s="9">
        <f>IFERROR(__xludf.DUMMYFUNCTION("""COMPUTED_VALUE"""),46174.0)</f>
        <v>46174</v>
      </c>
      <c r="K268" s="1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7" t="str">
        <f>IFERROR(__xludf.DUMMYFUNCTION("""COMPUTED_VALUE"""),"Howells")</f>
        <v>Howells</v>
      </c>
      <c r="B269" s="8" t="str">
        <f>IFERROR(__xludf.DUMMYFUNCTION("""COMPUTED_VALUE"""),"Matthew")</f>
        <v>Matthew</v>
      </c>
      <c r="C269" s="8" t="str">
        <f>IFERROR(__xludf.DUMMYFUNCTION("""COMPUTED_VALUE"""),"Covington")</f>
        <v>Covington</v>
      </c>
      <c r="D269" s="8" t="str">
        <f>IFERROR(__xludf.DUMMYFUNCTION("""COMPUTED_VALUE"""),"WA")</f>
        <v>WA</v>
      </c>
      <c r="E269" s="8" t="str">
        <f>IFERROR(__xludf.DUMMYFUNCTION("""COMPUTED_VALUE"""),"USA")</f>
        <v>USA</v>
      </c>
      <c r="F269" s="8" t="str">
        <f>IFERROR(__xludf.DUMMYFUNCTION("""COMPUTED_VALUE"""),"Men Singles")</f>
        <v>Men Singles</v>
      </c>
      <c r="G269" s="8" t="str">
        <f>IFERROR(__xludf.DUMMYFUNCTION("""COMPUTED_VALUE"""),"1st")</f>
        <v>1st</v>
      </c>
      <c r="H269" s="8" t="str">
        <f>IFERROR(__xludf.DUMMYFUNCTION("""COMPUTED_VALUE"""),"WA BS 38")</f>
        <v>WA BS 38</v>
      </c>
      <c r="I269" s="9">
        <f>IFERROR(__xludf.DUMMYFUNCTION("""COMPUTED_VALUE"""),45444.0)</f>
        <v>45444</v>
      </c>
      <c r="J269" s="9">
        <f>IFERROR(__xludf.DUMMYFUNCTION("""COMPUTED_VALUE"""),46539.0)</f>
        <v>46539</v>
      </c>
      <c r="K269" s="10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7" t="str">
        <f>IFERROR(__xludf.DUMMYFUNCTION("""COMPUTED_VALUE"""),"Hubbard")</f>
        <v>Hubbard</v>
      </c>
      <c r="B270" s="8" t="str">
        <f>IFERROR(__xludf.DUMMYFUNCTION("""COMPUTED_VALUE"""),"Jeffery")</f>
        <v>Jeffery</v>
      </c>
      <c r="C270" s="8" t="str">
        <f>IFERROR(__xludf.DUMMYFUNCTION("""COMPUTED_VALUE"""),"Antioch")</f>
        <v>Antioch</v>
      </c>
      <c r="D270" s="8" t="str">
        <f>IFERROR(__xludf.DUMMYFUNCTION("""COMPUTED_VALUE"""),"TN")</f>
        <v>TN</v>
      </c>
      <c r="E270" s="8" t="str">
        <f>IFERROR(__xludf.DUMMYFUNCTION("""COMPUTED_VALUE"""),"USA")</f>
        <v>USA</v>
      </c>
      <c r="F270" s="8" t="str">
        <f>IFERROR(__xludf.DUMMYFUNCTION("""COMPUTED_VALUE"""),"Men Singles")</f>
        <v>Men Singles</v>
      </c>
      <c r="G270" s="8" t="str">
        <f>IFERROR(__xludf.DUMMYFUNCTION("""COMPUTED_VALUE"""),"3rd")</f>
        <v>3rd</v>
      </c>
      <c r="H270" s="8" t="str">
        <f>IFERROR(__xludf.DUMMYFUNCTION("""COMPUTED_VALUE"""),"TN BS 38")</f>
        <v>TN BS 38</v>
      </c>
      <c r="I270" s="9">
        <f>IFERROR(__xludf.DUMMYFUNCTION("""COMPUTED_VALUE"""),45444.0)</f>
        <v>45444</v>
      </c>
      <c r="J270" s="9">
        <f>IFERROR(__xludf.DUMMYFUNCTION("""COMPUTED_VALUE"""),46539.0)</f>
        <v>46539</v>
      </c>
      <c r="K270" s="10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7" t="str">
        <f>IFERROR(__xludf.DUMMYFUNCTION("""COMPUTED_VALUE"""),"HUGHART")</f>
        <v>HUGHART</v>
      </c>
      <c r="B271" s="8" t="str">
        <f>IFERROR(__xludf.DUMMYFUNCTION("""COMPUTED_VALUE"""),"RICHARD")</f>
        <v>RICHARD</v>
      </c>
      <c r="C271" s="8" t="str">
        <f>IFERROR(__xludf.DUMMYFUNCTION("""COMPUTED_VALUE"""),"ORANGE PARK")</f>
        <v>ORANGE PARK</v>
      </c>
      <c r="D271" s="8" t="str">
        <f>IFERROR(__xludf.DUMMYFUNCTION("""COMPUTED_VALUE"""),"FL")</f>
        <v>FL</v>
      </c>
      <c r="E271" s="8" t="str">
        <f>IFERROR(__xludf.DUMMYFUNCTION("""COMPUTED_VALUE"""),"USA")</f>
        <v>USA</v>
      </c>
      <c r="F271" s="8" t="str">
        <f>IFERROR(__xludf.DUMMYFUNCTION("""COMPUTED_VALUE"""),"MENS DBLS 501")</f>
        <v>MENS DBLS 501</v>
      </c>
      <c r="G271" s="8" t="str">
        <f>IFERROR(__xludf.DUMMYFUNCTION("""COMPUTED_VALUE"""),"3RD")</f>
        <v>3RD</v>
      </c>
      <c r="H271" s="8" t="str">
        <f>IFERROR(__xludf.DUMMYFUNCTION("""COMPUTED_VALUE"""),"BS 36 REGIONAL TX")</f>
        <v>BS 36 REGIONAL TX</v>
      </c>
      <c r="I271" s="9">
        <f>IFERROR(__xludf.DUMMYFUNCTION("""COMPUTED_VALUE"""),44713.0)</f>
        <v>44713</v>
      </c>
      <c r="J271" s="9">
        <f>IFERROR(__xludf.DUMMYFUNCTION("""COMPUTED_VALUE"""),45809.0)</f>
        <v>45809</v>
      </c>
      <c r="K271" s="1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7" t="str">
        <f>IFERROR(__xludf.DUMMYFUNCTION("""COMPUTED_VALUE"""),"HUNNICUT")</f>
        <v>HUNNICUT</v>
      </c>
      <c r="B272" s="8" t="str">
        <f>IFERROR(__xludf.DUMMYFUNCTION("""COMPUTED_VALUE"""),"ANDREW")</f>
        <v>ANDREW</v>
      </c>
      <c r="C272" s="8" t="str">
        <f>IFERROR(__xludf.DUMMYFUNCTION("""COMPUTED_VALUE"""),"SPLENDORA")</f>
        <v>SPLENDORA</v>
      </c>
      <c r="D272" s="8" t="str">
        <f>IFERROR(__xludf.DUMMYFUNCTION("""COMPUTED_VALUE"""),"TX")</f>
        <v>TX</v>
      </c>
      <c r="E272" s="8" t="str">
        <f>IFERROR(__xludf.DUMMYFUNCTION("""COMPUTED_VALUE"""),"USA")</f>
        <v>USA</v>
      </c>
      <c r="F272" s="8" t="str">
        <f>IFERROR(__xludf.DUMMYFUNCTION("""COMPUTED_VALUE"""),"MEN CRICKET DBLS")</f>
        <v>MEN CRICKET DBLS</v>
      </c>
      <c r="G272" s="8" t="str">
        <f>IFERROR(__xludf.DUMMYFUNCTION("""COMPUTED_VALUE"""),"3")</f>
        <v>3</v>
      </c>
      <c r="H272" s="8" t="str">
        <f>IFERROR(__xludf.DUMMYFUNCTION("""COMPUTED_VALUE"""),"BS 37 TX")</f>
        <v>BS 37 TX</v>
      </c>
      <c r="I272" s="9">
        <f>IFERROR(__xludf.DUMMYFUNCTION("""COMPUTED_VALUE"""),45078.0)</f>
        <v>45078</v>
      </c>
      <c r="J272" s="9">
        <f>IFERROR(__xludf.DUMMYFUNCTION("""COMPUTED_VALUE"""),46174.0)</f>
        <v>46174</v>
      </c>
      <c r="K272" s="1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7" t="str">
        <f>IFERROR(__xludf.DUMMYFUNCTION("""COMPUTED_VALUE"""),"HUNTER")</f>
        <v>HUNTER</v>
      </c>
      <c r="B273" s="8" t="str">
        <f>IFERROR(__xludf.DUMMYFUNCTION("""COMPUTED_VALUE"""),"NICHOLAS")</f>
        <v>NICHOLAS</v>
      </c>
      <c r="C273" s="8" t="str">
        <f>IFERROR(__xludf.DUMMYFUNCTION("""COMPUTED_VALUE"""),"AUBURNDALE")</f>
        <v>AUBURNDALE</v>
      </c>
      <c r="D273" s="8" t="str">
        <f>IFERROR(__xludf.DUMMYFUNCTION("""COMPUTED_VALUE"""),"FL")</f>
        <v>FL</v>
      </c>
      <c r="E273" s="8" t="str">
        <f>IFERROR(__xludf.DUMMYFUNCTION("""COMPUTED_VALUE"""),"USA")</f>
        <v>USA</v>
      </c>
      <c r="F273" s="8" t="str">
        <f>IFERROR(__xludf.DUMMYFUNCTION("""COMPUTED_VALUE"""),"MEN CRICKET DBLS")</f>
        <v>MEN CRICKET DBLS</v>
      </c>
      <c r="G273" s="8" t="str">
        <f>IFERROR(__xludf.DUMMYFUNCTION("""COMPUTED_VALUE"""),"2")</f>
        <v>2</v>
      </c>
      <c r="H273" s="8" t="str">
        <f>IFERROR(__xludf.DUMMYFUNCTION("""COMPUTED_VALUE"""),"BS 37 FL")</f>
        <v>BS 37 FL</v>
      </c>
      <c r="I273" s="9">
        <f>IFERROR(__xludf.DUMMYFUNCTION("""COMPUTED_VALUE"""),45078.0)</f>
        <v>45078</v>
      </c>
      <c r="J273" s="9">
        <f>IFERROR(__xludf.DUMMYFUNCTION("""COMPUTED_VALUE"""),46174.0)</f>
        <v>46174</v>
      </c>
      <c r="K273" s="1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7" t="str">
        <f>IFERROR(__xludf.DUMMYFUNCTION("""COMPUTED_VALUE"""),"HUNTER")</f>
        <v>HUNTER</v>
      </c>
      <c r="B274" s="8" t="str">
        <f>IFERROR(__xludf.DUMMYFUNCTION("""COMPUTED_VALUE"""),"ZACH")</f>
        <v>ZACH</v>
      </c>
      <c r="C274" s="8" t="str">
        <f>IFERROR(__xludf.DUMMYFUNCTION("""COMPUTED_VALUE"""),"HUMBLE")</f>
        <v>HUMBLE</v>
      </c>
      <c r="D274" s="8" t="str">
        <f>IFERROR(__xludf.DUMMYFUNCTION("""COMPUTED_VALUE"""),"TX")</f>
        <v>TX</v>
      </c>
      <c r="E274" s="8" t="str">
        <f>IFERROR(__xludf.DUMMYFUNCTION("""COMPUTED_VALUE"""),"USA")</f>
        <v>USA</v>
      </c>
      <c r="F274" s="8" t="str">
        <f>IFERROR(__xludf.DUMMYFUNCTION("""COMPUTED_VALUE"""),"MEN CRICKET DBLS")</f>
        <v>MEN CRICKET DBLS</v>
      </c>
      <c r="G274" s="8" t="str">
        <f>IFERROR(__xludf.DUMMYFUNCTION("""COMPUTED_VALUE"""),"1")</f>
        <v>1</v>
      </c>
      <c r="H274" s="8" t="str">
        <f>IFERROR(__xludf.DUMMYFUNCTION("""COMPUTED_VALUE"""),"BS 37 FINALS")</f>
        <v>BS 37 FINALS</v>
      </c>
      <c r="I274" s="9">
        <f>IFERROR(__xludf.DUMMYFUNCTION("""COMPUTED_VALUE"""),45078.0)</f>
        <v>45078</v>
      </c>
      <c r="J274" s="9">
        <f>IFERROR(__xludf.DUMMYFUNCTION("""COMPUTED_VALUE"""),46174.0)</f>
        <v>46174</v>
      </c>
      <c r="K274" s="1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7" t="str">
        <f>IFERROR(__xludf.DUMMYFUNCTION("""COMPUTED_VALUE"""),"HUNTER")</f>
        <v>HUNTER</v>
      </c>
      <c r="B275" s="8" t="str">
        <f>IFERROR(__xludf.DUMMYFUNCTION("""COMPUTED_VALUE"""),"RONALD")</f>
        <v>RONALD</v>
      </c>
      <c r="C275" s="8" t="str">
        <f>IFERROR(__xludf.DUMMYFUNCTION("""COMPUTED_VALUE"""),"MONTGOMERY")</f>
        <v>MONTGOMERY</v>
      </c>
      <c r="D275" s="8" t="str">
        <f>IFERROR(__xludf.DUMMYFUNCTION("""COMPUTED_VALUE"""),"TX")</f>
        <v>TX</v>
      </c>
      <c r="E275" s="8" t="str">
        <f>IFERROR(__xludf.DUMMYFUNCTION("""COMPUTED_VALUE"""),"USA")</f>
        <v>USA</v>
      </c>
      <c r="F275" s="8" t="str">
        <f>IFERROR(__xludf.DUMMYFUNCTION("""COMPUTED_VALUE"""),"MENS DBLS 501")</f>
        <v>MENS DBLS 501</v>
      </c>
      <c r="G275" s="8" t="str">
        <f>IFERROR(__xludf.DUMMYFUNCTION("""COMPUTED_VALUE"""),"1ST")</f>
        <v>1ST</v>
      </c>
      <c r="H275" s="8" t="str">
        <f>IFERROR(__xludf.DUMMYFUNCTION("""COMPUTED_VALUE"""),"BS 36 REGIONAL FL")</f>
        <v>BS 36 REGIONAL FL</v>
      </c>
      <c r="I275" s="9">
        <f>IFERROR(__xludf.DUMMYFUNCTION("""COMPUTED_VALUE"""),44713.0)</f>
        <v>44713</v>
      </c>
      <c r="J275" s="9">
        <f>IFERROR(__xludf.DUMMYFUNCTION("""COMPUTED_VALUE"""),45809.0)</f>
        <v>45809</v>
      </c>
      <c r="K275" s="1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7" t="str">
        <f>IFERROR(__xludf.DUMMYFUNCTION("""COMPUTED_VALUE"""),"Huskin")</f>
        <v>Huskin</v>
      </c>
      <c r="B276" s="8" t="str">
        <f>IFERROR(__xludf.DUMMYFUNCTION("""COMPUTED_VALUE"""),"James")</f>
        <v>James</v>
      </c>
      <c r="C276" s="8"/>
      <c r="D276" s="8"/>
      <c r="E276" s="8" t="str">
        <f>IFERROR(__xludf.DUMMYFUNCTION("""COMPUTED_VALUE"""),"USA")</f>
        <v>USA</v>
      </c>
      <c r="F276" s="8" t="str">
        <f>IFERROR(__xludf.DUMMYFUNCTION("""COMPUTED_VALUE"""),"Men Cricket Dbls")</f>
        <v>Men Cricket Dbls</v>
      </c>
      <c r="G276" s="8" t="str">
        <f>IFERROR(__xludf.DUMMYFUNCTION("""COMPUTED_VALUE"""),"2nd")</f>
        <v>2nd</v>
      </c>
      <c r="H276" s="8" t="str">
        <f>IFERROR(__xludf.DUMMYFUNCTION("""COMPUTED_VALUE"""),"BS 38 Finals")</f>
        <v>BS 38 Finals</v>
      </c>
      <c r="I276" s="9">
        <f>IFERROR(__xludf.DUMMYFUNCTION("""COMPUTED_VALUE"""),45444.0)</f>
        <v>45444</v>
      </c>
      <c r="J276" s="9">
        <f>IFERROR(__xludf.DUMMYFUNCTION("""COMPUTED_VALUE"""),46539.0)</f>
        <v>46539</v>
      </c>
      <c r="K276" s="10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7" t="str">
        <f>IFERROR(__xludf.DUMMYFUNCTION("""COMPUTED_VALUE"""),"Husman")</f>
        <v>Husman</v>
      </c>
      <c r="B277" s="8" t="str">
        <f>IFERROR(__xludf.DUMMYFUNCTION("""COMPUTED_VALUE"""),"John")</f>
        <v>John</v>
      </c>
      <c r="C277" s="8" t="str">
        <f>IFERROR(__xludf.DUMMYFUNCTION("""COMPUTED_VALUE"""),"Puyallup")</f>
        <v>Puyallup</v>
      </c>
      <c r="D277" s="8" t="str">
        <f>IFERROR(__xludf.DUMMYFUNCTION("""COMPUTED_VALUE"""),"WA")</f>
        <v>WA</v>
      </c>
      <c r="E277" s="8" t="str">
        <f>IFERROR(__xludf.DUMMYFUNCTION("""COMPUTED_VALUE"""),"USA")</f>
        <v>USA</v>
      </c>
      <c r="F277" s="8" t="str">
        <f>IFERROR(__xludf.DUMMYFUNCTION("""COMPUTED_VALUE"""),"Known Ability")</f>
        <v>Known Ability</v>
      </c>
      <c r="G277" s="8" t="str">
        <f>IFERROR(__xludf.DUMMYFUNCTION("""COMPUTED_VALUE"""),"1st")</f>
        <v>1st</v>
      </c>
      <c r="H277" s="8" t="str">
        <f>IFERROR(__xludf.DUMMYFUNCTION("""COMPUTED_VALUE"""),"WA REGIONAL BS 38")</f>
        <v>WA REGIONAL BS 38</v>
      </c>
      <c r="I277" s="9">
        <f>IFERROR(__xludf.DUMMYFUNCTION("""COMPUTED_VALUE"""),42887.0)</f>
        <v>42887</v>
      </c>
      <c r="J277" s="9">
        <f>IFERROR(__xludf.DUMMYFUNCTION("""COMPUTED_VALUE"""),47635.0)</f>
        <v>47635</v>
      </c>
      <c r="K277" s="10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7" t="str">
        <f>IFERROR(__xludf.DUMMYFUNCTION("""COMPUTED_VALUE"""),"HVAMSTAD")</f>
        <v>HVAMSTAD</v>
      </c>
      <c r="B278" s="8" t="str">
        <f>IFERROR(__xludf.DUMMYFUNCTION("""COMPUTED_VALUE"""),"CODY")</f>
        <v>CODY</v>
      </c>
      <c r="C278" s="8" t="str">
        <f>IFERROR(__xludf.DUMMYFUNCTION("""COMPUTED_VALUE"""),"CLEVELAND")</f>
        <v>CLEVELAND</v>
      </c>
      <c r="D278" s="8" t="str">
        <f>IFERROR(__xludf.DUMMYFUNCTION("""COMPUTED_VALUE"""),"TX")</f>
        <v>TX</v>
      </c>
      <c r="E278" s="8" t="str">
        <f>IFERROR(__xludf.DUMMYFUNCTION("""COMPUTED_VALUE"""),"USA")</f>
        <v>USA</v>
      </c>
      <c r="F278" s="8" t="str">
        <f>IFERROR(__xludf.DUMMYFUNCTION("""COMPUTED_VALUE"""),"MENS DBLS 501")</f>
        <v>MENS DBLS 501</v>
      </c>
      <c r="G278" s="8" t="str">
        <f>IFERROR(__xludf.DUMMYFUNCTION("""COMPUTED_VALUE"""),"1ST")</f>
        <v>1ST</v>
      </c>
      <c r="H278" s="8" t="str">
        <f>IFERROR(__xludf.DUMMYFUNCTION("""COMPUTED_VALUE"""),"BS 36 REGIONAL AZ")</f>
        <v>BS 36 REGIONAL AZ</v>
      </c>
      <c r="I278" s="9">
        <f>IFERROR(__xludf.DUMMYFUNCTION("""COMPUTED_VALUE"""),44713.0)</f>
        <v>44713</v>
      </c>
      <c r="J278" s="9">
        <f>IFERROR(__xludf.DUMMYFUNCTION("""COMPUTED_VALUE"""),45809.0)</f>
        <v>45809</v>
      </c>
      <c r="K278" s="1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7" t="str">
        <f>IFERROR(__xludf.DUMMYFUNCTION("""COMPUTED_VALUE"""),"Jackson")</f>
        <v>Jackson</v>
      </c>
      <c r="B279" s="8" t="str">
        <f>IFERROR(__xludf.DUMMYFUNCTION("""COMPUTED_VALUE"""),"Ricky")</f>
        <v>Ricky</v>
      </c>
      <c r="C279" s="8" t="str">
        <f>IFERROR(__xludf.DUMMYFUNCTION("""COMPUTED_VALUE"""),"Hernando")</f>
        <v>Hernando</v>
      </c>
      <c r="D279" s="8" t="str">
        <f>IFERROR(__xludf.DUMMYFUNCTION("""COMPUTED_VALUE"""),"MS")</f>
        <v>MS</v>
      </c>
      <c r="E279" s="8" t="str">
        <f>IFERROR(__xludf.DUMMYFUNCTION("""COMPUTED_VALUE"""),"USA")</f>
        <v>USA</v>
      </c>
      <c r="F279" s="8" t="str">
        <f>IFERROR(__xludf.DUMMYFUNCTION("""COMPUTED_VALUE"""),"Men Cricket Dbls")</f>
        <v>Men Cricket Dbls</v>
      </c>
      <c r="G279" s="8" t="str">
        <f>IFERROR(__xludf.DUMMYFUNCTION("""COMPUTED_VALUE"""),"3rd")</f>
        <v>3rd</v>
      </c>
      <c r="H279" s="8" t="str">
        <f>IFERROR(__xludf.DUMMYFUNCTION("""COMPUTED_VALUE"""),"TN BS 38")</f>
        <v>TN BS 38</v>
      </c>
      <c r="I279" s="9">
        <f>IFERROR(__xludf.DUMMYFUNCTION("""COMPUTED_VALUE"""),45444.0)</f>
        <v>45444</v>
      </c>
      <c r="J279" s="9">
        <f>IFERROR(__xludf.DUMMYFUNCTION("""COMPUTED_VALUE"""),46539.0)</f>
        <v>46539</v>
      </c>
      <c r="K279" s="1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7" t="str">
        <f>IFERROR(__xludf.DUMMYFUNCTION("""COMPUTED_VALUE"""),"JAMES")</f>
        <v>JAMES</v>
      </c>
      <c r="B280" s="8" t="str">
        <f>IFERROR(__xludf.DUMMYFUNCTION("""COMPUTED_VALUE"""),"DUSTIN")</f>
        <v>DUSTIN</v>
      </c>
      <c r="C280" s="8" t="str">
        <f>IFERROR(__xludf.DUMMYFUNCTION("""COMPUTED_VALUE"""),"PIEDMONT")</f>
        <v>PIEDMONT</v>
      </c>
      <c r="D280" s="8" t="str">
        <f>IFERROR(__xludf.DUMMYFUNCTION("""COMPUTED_VALUE"""),"SD")</f>
        <v>SD</v>
      </c>
      <c r="E280" s="8" t="str">
        <f>IFERROR(__xludf.DUMMYFUNCTION("""COMPUTED_VALUE"""),"USA")</f>
        <v>USA</v>
      </c>
      <c r="F280" s="8" t="str">
        <f>IFERROR(__xludf.DUMMYFUNCTION("""COMPUTED_VALUE"""),"TOP GUN TRIPS")</f>
        <v>TOP GUN TRIPS</v>
      </c>
      <c r="G280" s="8" t="str">
        <f>IFERROR(__xludf.DUMMYFUNCTION("""COMPUTED_VALUE"""),"2ND")</f>
        <v>2ND</v>
      </c>
      <c r="H280" s="8" t="str">
        <f>IFERROR(__xludf.DUMMYFUNCTION("""COMPUTED_VALUE"""),"BULLSHOOTER 36 FINALS")</f>
        <v>BULLSHOOTER 36 FINALS</v>
      </c>
      <c r="I280" s="9">
        <f>IFERROR(__xludf.DUMMYFUNCTION("""COMPUTED_VALUE"""),44713.0)</f>
        <v>44713</v>
      </c>
      <c r="J280" s="9">
        <f>IFERROR(__xludf.DUMMYFUNCTION("""COMPUTED_VALUE"""),45809.0)</f>
        <v>45809</v>
      </c>
      <c r="K280" s="10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7" t="str">
        <f>IFERROR(__xludf.DUMMYFUNCTION("""COMPUTED_VALUE"""),"Jamison")</f>
        <v>Jamison</v>
      </c>
      <c r="B281" s="8" t="str">
        <f>IFERROR(__xludf.DUMMYFUNCTION("""COMPUTED_VALUE"""),"Aaron")</f>
        <v>Aaron</v>
      </c>
      <c r="C281" s="8" t="str">
        <f>IFERROR(__xludf.DUMMYFUNCTION("""COMPUTED_VALUE"""),"El Cajon")</f>
        <v>El Cajon</v>
      </c>
      <c r="D281" s="8" t="str">
        <f>IFERROR(__xludf.DUMMYFUNCTION("""COMPUTED_VALUE"""),"CA")</f>
        <v>CA</v>
      </c>
      <c r="E281" s="8" t="str">
        <f>IFERROR(__xludf.DUMMYFUNCTION("""COMPUTED_VALUE"""),"USA")</f>
        <v>USA</v>
      </c>
      <c r="F281" s="8" t="str">
        <f>IFERROR(__xludf.DUMMYFUNCTION("""COMPUTED_VALUE"""),"Men 501 Dbls")</f>
        <v>Men 501 Dbls</v>
      </c>
      <c r="G281" s="8" t="str">
        <f>IFERROR(__xludf.DUMMYFUNCTION("""COMPUTED_VALUE"""),"1st")</f>
        <v>1st</v>
      </c>
      <c r="H281" s="8" t="str">
        <f>IFERROR(__xludf.DUMMYFUNCTION("""COMPUTED_VALUE"""),"AZ BS 38")</f>
        <v>AZ BS 38</v>
      </c>
      <c r="I281" s="9">
        <f>IFERROR(__xludf.DUMMYFUNCTION("""COMPUTED_VALUE"""),45444.0)</f>
        <v>45444</v>
      </c>
      <c r="J281" s="9">
        <f>IFERROR(__xludf.DUMMYFUNCTION("""COMPUTED_VALUE"""),46539.0)</f>
        <v>46539</v>
      </c>
      <c r="K281" s="10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7" t="str">
        <f>IFERROR(__xludf.DUMMYFUNCTION("""COMPUTED_VALUE"""),"Jenkins")</f>
        <v>Jenkins</v>
      </c>
      <c r="B282" s="8" t="str">
        <f>IFERROR(__xludf.DUMMYFUNCTION("""COMPUTED_VALUE"""),"Matthew")</f>
        <v>Matthew</v>
      </c>
      <c r="C282" s="8" t="str">
        <f>IFERROR(__xludf.DUMMYFUNCTION("""COMPUTED_VALUE"""),"Juneau")</f>
        <v>Juneau</v>
      </c>
      <c r="D282" s="8" t="str">
        <f>IFERROR(__xludf.DUMMYFUNCTION("""COMPUTED_VALUE"""),"WI")</f>
        <v>WI</v>
      </c>
      <c r="E282" s="8" t="str">
        <f>IFERROR(__xludf.DUMMYFUNCTION("""COMPUTED_VALUE"""),"USA")</f>
        <v>USA</v>
      </c>
      <c r="F282" s="8" t="str">
        <f>IFERROR(__xludf.DUMMYFUNCTION("""COMPUTED_VALUE"""),"Pro Singles")</f>
        <v>Pro Singles</v>
      </c>
      <c r="G282" s="8" t="str">
        <f>IFERROR(__xludf.DUMMYFUNCTION("""COMPUTED_VALUE"""),"3rd")</f>
        <v>3rd</v>
      </c>
      <c r="H282" s="8" t="str">
        <f>IFERROR(__xludf.DUMMYFUNCTION("""COMPUTED_VALUE"""),"MI BS 38")</f>
        <v>MI BS 38</v>
      </c>
      <c r="I282" s="9">
        <f>IFERROR(__xludf.DUMMYFUNCTION("""COMPUTED_VALUE"""),45444.0)</f>
        <v>45444</v>
      </c>
      <c r="J282" s="9">
        <f>IFERROR(__xludf.DUMMYFUNCTION("""COMPUTED_VALUE"""),46539.0)</f>
        <v>46539</v>
      </c>
      <c r="K282" s="1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7" t="str">
        <f>IFERROR(__xludf.DUMMYFUNCTION("""COMPUTED_VALUE"""),"JENSEN")</f>
        <v>JENSEN</v>
      </c>
      <c r="B283" s="8" t="str">
        <f>IFERROR(__xludf.DUMMYFUNCTION("""COMPUTED_VALUE"""),"COREY")</f>
        <v>COREY</v>
      </c>
      <c r="C283" s="8" t="str">
        <f>IFERROR(__xludf.DUMMYFUNCTION("""COMPUTED_VALUE"""),"BOX ELDER")</f>
        <v>BOX ELDER</v>
      </c>
      <c r="D283" s="8" t="str">
        <f>IFERROR(__xludf.DUMMYFUNCTION("""COMPUTED_VALUE"""),"SD")</f>
        <v>SD</v>
      </c>
      <c r="E283" s="8" t="str">
        <f>IFERROR(__xludf.DUMMYFUNCTION("""COMPUTED_VALUE"""),"USA")</f>
        <v>USA</v>
      </c>
      <c r="F283" s="8" t="str">
        <f>IFERROR(__xludf.DUMMYFUNCTION("""COMPUTED_VALUE"""),"MENS PRO DBLS 501")</f>
        <v>MENS PRO DBLS 501</v>
      </c>
      <c r="G283" s="8" t="str">
        <f>IFERROR(__xludf.DUMMYFUNCTION("""COMPUTED_VALUE"""),"2ND")</f>
        <v>2ND</v>
      </c>
      <c r="H283" s="8" t="str">
        <f>IFERROR(__xludf.DUMMYFUNCTION("""COMPUTED_VALUE"""),"BS 36 REGIONAL WY")</f>
        <v>BS 36 REGIONAL WY</v>
      </c>
      <c r="I283" s="9">
        <f>IFERROR(__xludf.DUMMYFUNCTION("""COMPUTED_VALUE"""),44713.0)</f>
        <v>44713</v>
      </c>
      <c r="J283" s="9">
        <f>IFERROR(__xludf.DUMMYFUNCTION("""COMPUTED_VALUE"""),45809.0)</f>
        <v>45809</v>
      </c>
      <c r="K283" s="1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7" t="str">
        <f>IFERROR(__xludf.DUMMYFUNCTION("""COMPUTED_VALUE"""),"Jinkinsen")</f>
        <v>Jinkinsen</v>
      </c>
      <c r="B284" s="8" t="str">
        <f>IFERROR(__xludf.DUMMYFUNCTION("""COMPUTED_VALUE"""),"Kevin")</f>
        <v>Kevin</v>
      </c>
      <c r="C284" s="8"/>
      <c r="D284" s="8"/>
      <c r="E284" s="8" t="str">
        <f>IFERROR(__xludf.DUMMYFUNCTION("""COMPUTED_VALUE"""),"USA")</f>
        <v>USA</v>
      </c>
      <c r="F284" s="8" t="str">
        <f>IFERROR(__xludf.DUMMYFUNCTION("""COMPUTED_VALUE"""),"TopGun Mixed")</f>
        <v>TopGun Mixed</v>
      </c>
      <c r="G284" s="8" t="str">
        <f>IFERROR(__xludf.DUMMYFUNCTION("""COMPUTED_VALUE"""),"3-4th")</f>
        <v>3-4th</v>
      </c>
      <c r="H284" s="8" t="str">
        <f>IFERROR(__xludf.DUMMYFUNCTION("""COMPUTED_VALUE"""),"BS 38 Finals")</f>
        <v>BS 38 Finals</v>
      </c>
      <c r="I284" s="9">
        <f>IFERROR(__xludf.DUMMYFUNCTION("""COMPUTED_VALUE"""),45444.0)</f>
        <v>45444</v>
      </c>
      <c r="J284" s="9">
        <f>IFERROR(__xludf.DUMMYFUNCTION("""COMPUTED_VALUE"""),46539.0)</f>
        <v>46539</v>
      </c>
      <c r="K284" s="1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7" t="str">
        <f>IFERROR(__xludf.DUMMYFUNCTION("""COMPUTED_VALUE"""),"Joe")</f>
        <v>Joe</v>
      </c>
      <c r="B285" s="8" t="str">
        <f>IFERROR(__xludf.DUMMYFUNCTION("""COMPUTED_VALUE"""),"Donny")</f>
        <v>Donny</v>
      </c>
      <c r="C285" s="8" t="str">
        <f>IFERROR(__xludf.DUMMYFUNCTION("""COMPUTED_VALUE"""),"Houston")</f>
        <v>Houston</v>
      </c>
      <c r="D285" s="8" t="str">
        <f>IFERROR(__xludf.DUMMYFUNCTION("""COMPUTED_VALUE"""),"TX")</f>
        <v>TX</v>
      </c>
      <c r="E285" s="8" t="str">
        <f>IFERROR(__xludf.DUMMYFUNCTION("""COMPUTED_VALUE"""),"USA")</f>
        <v>USA</v>
      </c>
      <c r="F285" s="8" t="str">
        <f>IFERROR(__xludf.DUMMYFUNCTION("""COMPUTED_VALUE"""),"Pro 501 Dbls")</f>
        <v>Pro 501 Dbls</v>
      </c>
      <c r="G285" s="8" t="str">
        <f>IFERROR(__xludf.DUMMYFUNCTION("""COMPUTED_VALUE"""),"3rd")</f>
        <v>3rd</v>
      </c>
      <c r="H285" s="8" t="str">
        <f>IFERROR(__xludf.DUMMYFUNCTION("""COMPUTED_VALUE"""),"TX BS 38")</f>
        <v>TX BS 38</v>
      </c>
      <c r="I285" s="9">
        <f>IFERROR(__xludf.DUMMYFUNCTION("""COMPUTED_VALUE"""),45444.0)</f>
        <v>45444</v>
      </c>
      <c r="J285" s="9">
        <f>IFERROR(__xludf.DUMMYFUNCTION("""COMPUTED_VALUE"""),46539.0)</f>
        <v>46539</v>
      </c>
      <c r="K285" s="1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7" t="str">
        <f>IFERROR(__xludf.DUMMYFUNCTION("""COMPUTED_VALUE"""),"Johnroe")</f>
        <v>Johnroe</v>
      </c>
      <c r="B286" s="8" t="str">
        <f>IFERROR(__xludf.DUMMYFUNCTION("""COMPUTED_VALUE"""),"Joseph")</f>
        <v>Joseph</v>
      </c>
      <c r="C286" s="8" t="str">
        <f>IFERROR(__xludf.DUMMYFUNCTION("""COMPUTED_VALUE"""),"Oxford")</f>
        <v>Oxford</v>
      </c>
      <c r="D286" s="8" t="str">
        <f>IFERROR(__xludf.DUMMYFUNCTION("""COMPUTED_VALUE"""),"FL")</f>
        <v>FL</v>
      </c>
      <c r="E286" s="8" t="str">
        <f>IFERROR(__xludf.DUMMYFUNCTION("""COMPUTED_VALUE"""),"USA")</f>
        <v>USA</v>
      </c>
      <c r="F286" s="8" t="str">
        <f>IFERROR(__xludf.DUMMYFUNCTION("""COMPUTED_VALUE"""),"Men Cricket Dbls")</f>
        <v>Men Cricket Dbls</v>
      </c>
      <c r="G286" s="8" t="str">
        <f>IFERROR(__xludf.DUMMYFUNCTION("""COMPUTED_VALUE"""),"2nd")</f>
        <v>2nd</v>
      </c>
      <c r="H286" s="8" t="str">
        <f>IFERROR(__xludf.DUMMYFUNCTION("""COMPUTED_VALUE"""),"TN BS 38")</f>
        <v>TN BS 38</v>
      </c>
      <c r="I286" s="9">
        <f>IFERROR(__xludf.DUMMYFUNCTION("""COMPUTED_VALUE"""),45444.0)</f>
        <v>45444</v>
      </c>
      <c r="J286" s="9">
        <f>IFERROR(__xludf.DUMMYFUNCTION("""COMPUTED_VALUE"""),46539.0)</f>
        <v>46539</v>
      </c>
      <c r="K286" s="1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7" t="str">
        <f>IFERROR(__xludf.DUMMYFUNCTION("""COMPUTED_VALUE"""),"Johns")</f>
        <v>Johns</v>
      </c>
      <c r="B287" s="8" t="str">
        <f>IFERROR(__xludf.DUMMYFUNCTION("""COMPUTED_VALUE"""),"Andrew")</f>
        <v>Andrew</v>
      </c>
      <c r="C287" s="8" t="str">
        <f>IFERROR(__xludf.DUMMYFUNCTION("""COMPUTED_VALUE"""),"Julietta")</f>
        <v>Julietta</v>
      </c>
      <c r="D287" s="8" t="str">
        <f>IFERROR(__xludf.DUMMYFUNCTION("""COMPUTED_VALUE"""),"ID")</f>
        <v>ID</v>
      </c>
      <c r="E287" s="8" t="str">
        <f>IFERROR(__xludf.DUMMYFUNCTION("""COMPUTED_VALUE"""),"USA")</f>
        <v>USA</v>
      </c>
      <c r="F287" s="8" t="str">
        <f>IFERROR(__xludf.DUMMYFUNCTION("""COMPUTED_VALUE"""),"Pro Cricket Dbls")</f>
        <v>Pro Cricket Dbls</v>
      </c>
      <c r="G287" s="8" t="str">
        <f>IFERROR(__xludf.DUMMYFUNCTION("""COMPUTED_VALUE"""),"3rd")</f>
        <v>3rd</v>
      </c>
      <c r="H287" s="8" t="str">
        <f>IFERROR(__xludf.DUMMYFUNCTION("""COMPUTED_VALUE"""),"WA BS 38")</f>
        <v>WA BS 38</v>
      </c>
      <c r="I287" s="9">
        <f>IFERROR(__xludf.DUMMYFUNCTION("""COMPUTED_VALUE"""),45444.0)</f>
        <v>45444</v>
      </c>
      <c r="J287" s="9">
        <f>IFERROR(__xludf.DUMMYFUNCTION("""COMPUTED_VALUE"""),46539.0)</f>
        <v>46539</v>
      </c>
      <c r="K287" s="1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7" t="str">
        <f>IFERROR(__xludf.DUMMYFUNCTION("""COMPUTED_VALUE"""),"Johnson")</f>
        <v>Johnson</v>
      </c>
      <c r="B288" s="8" t="str">
        <f>IFERROR(__xludf.DUMMYFUNCTION("""COMPUTED_VALUE"""),"Jason")</f>
        <v>Jason</v>
      </c>
      <c r="C288" s="8" t="str">
        <f>IFERROR(__xludf.DUMMYFUNCTION("""COMPUTED_VALUE"""),"Odenville")</f>
        <v>Odenville</v>
      </c>
      <c r="D288" s="8" t="str">
        <f>IFERROR(__xludf.DUMMYFUNCTION("""COMPUTED_VALUE"""),"AL")</f>
        <v>AL</v>
      </c>
      <c r="E288" s="8" t="str">
        <f>IFERROR(__xludf.DUMMYFUNCTION("""COMPUTED_VALUE"""),"USA")</f>
        <v>USA</v>
      </c>
      <c r="F288" s="8" t="str">
        <f>IFERROR(__xludf.DUMMYFUNCTION("""COMPUTED_VALUE"""),"Men 501 Dbls")</f>
        <v>Men 501 Dbls</v>
      </c>
      <c r="G288" s="8" t="str">
        <f>IFERROR(__xludf.DUMMYFUNCTION("""COMPUTED_VALUE"""),"1st")</f>
        <v>1st</v>
      </c>
      <c r="H288" s="8" t="str">
        <f>IFERROR(__xludf.DUMMYFUNCTION("""COMPUTED_VALUE"""),"TN BS 38")</f>
        <v>TN BS 38</v>
      </c>
      <c r="I288" s="9">
        <f>IFERROR(__xludf.DUMMYFUNCTION("""COMPUTED_VALUE"""),45444.0)</f>
        <v>45444</v>
      </c>
      <c r="J288" s="9">
        <f>IFERROR(__xludf.DUMMYFUNCTION("""COMPUTED_VALUE"""),46539.0)</f>
        <v>46539</v>
      </c>
      <c r="K288" s="1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7" t="str">
        <f>IFERROR(__xludf.DUMMYFUNCTION("""COMPUTED_VALUE"""),"Johnson")</f>
        <v>Johnson</v>
      </c>
      <c r="B289" s="8" t="str">
        <f>IFERROR(__xludf.DUMMYFUNCTION("""COMPUTED_VALUE"""),"Shayne")</f>
        <v>Shayne</v>
      </c>
      <c r="C289" s="8" t="str">
        <f>IFERROR(__xludf.DUMMYFUNCTION("""COMPUTED_VALUE"""),"Osseo")</f>
        <v>Osseo</v>
      </c>
      <c r="D289" s="8" t="str">
        <f>IFERROR(__xludf.DUMMYFUNCTION("""COMPUTED_VALUE"""),"WI")</f>
        <v>WI</v>
      </c>
      <c r="E289" s="8" t="str">
        <f>IFERROR(__xludf.DUMMYFUNCTION("""COMPUTED_VALUE"""),"USA")</f>
        <v>USA</v>
      </c>
      <c r="F289" s="8" t="str">
        <f>IFERROR(__xludf.DUMMYFUNCTION("""COMPUTED_VALUE"""),"Mix Cricket Dbls")</f>
        <v>Mix Cricket Dbls</v>
      </c>
      <c r="G289" s="8" t="str">
        <f>IFERROR(__xludf.DUMMYFUNCTION("""COMPUTED_VALUE"""),"1st")</f>
        <v>1st</v>
      </c>
      <c r="H289" s="8" t="str">
        <f>IFERROR(__xludf.DUMMYFUNCTION("""COMPUTED_VALUE"""),"NE BS 38")</f>
        <v>NE BS 38</v>
      </c>
      <c r="I289" s="9">
        <f>IFERROR(__xludf.DUMMYFUNCTION("""COMPUTED_VALUE"""),45444.0)</f>
        <v>45444</v>
      </c>
      <c r="J289" s="9">
        <f>IFERROR(__xludf.DUMMYFUNCTION("""COMPUTED_VALUE"""),46539.0)</f>
        <v>46539</v>
      </c>
      <c r="K289" s="10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7" t="str">
        <f>IFERROR(__xludf.DUMMYFUNCTION("""COMPUTED_VALUE"""),"Johnson")</f>
        <v>Johnson</v>
      </c>
      <c r="B290" s="8" t="str">
        <f>IFERROR(__xludf.DUMMYFUNCTION("""COMPUTED_VALUE"""),"Jacob")</f>
        <v>Jacob</v>
      </c>
      <c r="C290" s="8" t="str">
        <f>IFERROR(__xludf.DUMMYFUNCTION("""COMPUTED_VALUE"""),"Canton")</f>
        <v>Canton</v>
      </c>
      <c r="D290" s="8" t="str">
        <f>IFERROR(__xludf.DUMMYFUNCTION("""COMPUTED_VALUE"""),"MI")</f>
        <v>MI</v>
      </c>
      <c r="E290" s="8" t="str">
        <f>IFERROR(__xludf.DUMMYFUNCTION("""COMPUTED_VALUE"""),"USA")</f>
        <v>USA</v>
      </c>
      <c r="F290" s="8" t="str">
        <f>IFERROR(__xludf.DUMMYFUNCTION("""COMPUTED_VALUE"""),"Men Cricket Dbls")</f>
        <v>Men Cricket Dbls</v>
      </c>
      <c r="G290" s="8" t="str">
        <f>IFERROR(__xludf.DUMMYFUNCTION("""COMPUTED_VALUE"""),"1st")</f>
        <v>1st</v>
      </c>
      <c r="H290" s="8" t="str">
        <f>IFERROR(__xludf.DUMMYFUNCTION("""COMPUTED_VALUE"""),"MI BS 38")</f>
        <v>MI BS 38</v>
      </c>
      <c r="I290" s="9">
        <f>IFERROR(__xludf.DUMMYFUNCTION("""COMPUTED_VALUE"""),45444.0)</f>
        <v>45444</v>
      </c>
      <c r="J290" s="9">
        <f>IFERROR(__xludf.DUMMYFUNCTION("""COMPUTED_VALUE"""),46539.0)</f>
        <v>46539</v>
      </c>
      <c r="K290" s="10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7" t="str">
        <f>IFERROR(__xludf.DUMMYFUNCTION("""COMPUTED_VALUE"""),"Johnson")</f>
        <v>Johnson</v>
      </c>
      <c r="B291" s="8" t="str">
        <f>IFERROR(__xludf.DUMMYFUNCTION("""COMPUTED_VALUE"""),"Jesse")</f>
        <v>Jesse</v>
      </c>
      <c r="C291" s="8" t="str">
        <f>IFERROR(__xludf.DUMMYFUNCTION("""COMPUTED_VALUE"""),"Waupun")</f>
        <v>Waupun</v>
      </c>
      <c r="D291" s="8" t="str">
        <f>IFERROR(__xludf.DUMMYFUNCTION("""COMPUTED_VALUE"""),"WI")</f>
        <v>WI</v>
      </c>
      <c r="E291" s="8" t="str">
        <f>IFERROR(__xludf.DUMMYFUNCTION("""COMPUTED_VALUE"""),"USA")</f>
        <v>USA</v>
      </c>
      <c r="F291" s="8" t="str">
        <f>IFERROR(__xludf.DUMMYFUNCTION("""COMPUTED_VALUE"""),"Pro Cricket Doubles")</f>
        <v>Pro Cricket Doubles</v>
      </c>
      <c r="G291" s="8" t="str">
        <f>IFERROR(__xludf.DUMMYFUNCTION("""COMPUTED_VALUE"""),"2nd")</f>
        <v>2nd</v>
      </c>
      <c r="H291" s="8" t="str">
        <f>IFERROR(__xludf.DUMMYFUNCTION("""COMPUTED_VALUE"""),"BullShooter 34 Finals")</f>
        <v>BullShooter 34 Finals</v>
      </c>
      <c r="I291" s="9">
        <f>IFERROR(__xludf.DUMMYFUNCTION("""COMPUTED_VALUE"""),43617.0)</f>
        <v>43617</v>
      </c>
      <c r="J291" s="9">
        <f>IFERROR(__xludf.DUMMYFUNCTION("""COMPUTED_VALUE"""),45809.0)</f>
        <v>45809</v>
      </c>
      <c r="K291" s="10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7" t="str">
        <f>IFERROR(__xludf.DUMMYFUNCTION("""COMPUTED_VALUE"""),"JOHNSON")</f>
        <v>JOHNSON</v>
      </c>
      <c r="B292" s="8" t="str">
        <f>IFERROR(__xludf.DUMMYFUNCTION("""COMPUTED_VALUE"""),"JEFFERY")</f>
        <v>JEFFERY</v>
      </c>
      <c r="C292" s="8"/>
      <c r="D292" s="8"/>
      <c r="E292" s="8" t="str">
        <f>IFERROR(__xludf.DUMMYFUNCTION("""COMPUTED_VALUE"""),"USA")</f>
        <v>USA</v>
      </c>
      <c r="F292" s="8" t="str">
        <f>IFERROR(__xludf.DUMMYFUNCTION("""COMPUTED_VALUE"""),"Mens 501 Dbls")</f>
        <v>Mens 501 Dbls</v>
      </c>
      <c r="G292" s="8" t="str">
        <f>IFERROR(__xludf.DUMMYFUNCTION("""COMPUTED_VALUE"""),"2nd")</f>
        <v>2nd</v>
      </c>
      <c r="H292" s="8" t="str">
        <f>IFERROR(__xludf.DUMMYFUNCTION("""COMPUTED_VALUE"""),"BS 38 Finals")</f>
        <v>BS 38 Finals</v>
      </c>
      <c r="I292" s="9">
        <f>IFERROR(__xludf.DUMMYFUNCTION("""COMPUTED_VALUE"""),45444.0)</f>
        <v>45444</v>
      </c>
      <c r="J292" s="9">
        <f>IFERROR(__xludf.DUMMYFUNCTION("""COMPUTED_VALUE"""),46539.0)</f>
        <v>46539</v>
      </c>
      <c r="K292" s="1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7" t="str">
        <f>IFERROR(__xludf.DUMMYFUNCTION("""COMPUTED_VALUE"""),"JOHNSON")</f>
        <v>JOHNSON</v>
      </c>
      <c r="B293" s="8" t="str">
        <f>IFERROR(__xludf.DUMMYFUNCTION("""COMPUTED_VALUE"""),"BYRON")</f>
        <v>BYRON</v>
      </c>
      <c r="C293" s="8" t="str">
        <f>IFERROR(__xludf.DUMMYFUNCTION("""COMPUTED_VALUE"""),"KENOSHA")</f>
        <v>KENOSHA</v>
      </c>
      <c r="D293" s="8" t="str">
        <f>IFERROR(__xludf.DUMMYFUNCTION("""COMPUTED_VALUE"""),"WI")</f>
        <v>WI</v>
      </c>
      <c r="E293" s="8" t="str">
        <f>IFERROR(__xludf.DUMMYFUNCTION("""COMPUTED_VALUE"""),"USA")</f>
        <v>USA</v>
      </c>
      <c r="F293" s="8" t="str">
        <f>IFERROR(__xludf.DUMMYFUNCTION("""COMPUTED_VALUE"""),"PRO CRICK DBLS")</f>
        <v>PRO CRICK DBLS</v>
      </c>
      <c r="G293" s="8" t="str">
        <f>IFERROR(__xludf.DUMMYFUNCTION("""COMPUTED_VALUE"""),"2")</f>
        <v>2</v>
      </c>
      <c r="H293" s="8" t="str">
        <f>IFERROR(__xludf.DUMMYFUNCTION("""COMPUTED_VALUE"""),"BS 37 WA")</f>
        <v>BS 37 WA</v>
      </c>
      <c r="I293" s="9">
        <f>IFERROR(__xludf.DUMMYFUNCTION("""COMPUTED_VALUE"""),45078.0)</f>
        <v>45078</v>
      </c>
      <c r="J293" s="9">
        <f>IFERROR(__xludf.DUMMYFUNCTION("""COMPUTED_VALUE"""),46174.0)</f>
        <v>46174</v>
      </c>
      <c r="K293" s="1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7" t="str">
        <f>IFERROR(__xludf.DUMMYFUNCTION("""COMPUTED_VALUE"""),"JONES")</f>
        <v>JONES</v>
      </c>
      <c r="B294" s="8" t="str">
        <f>IFERROR(__xludf.DUMMYFUNCTION("""COMPUTED_VALUE"""),"VINCE")</f>
        <v>VINCE</v>
      </c>
      <c r="C294" s="8" t="str">
        <f>IFERROR(__xludf.DUMMYFUNCTION("""COMPUTED_VALUE"""),"SPRINGFIELD")</f>
        <v>SPRINGFIELD</v>
      </c>
      <c r="D294" s="8" t="str">
        <f>IFERROR(__xludf.DUMMYFUNCTION("""COMPUTED_VALUE"""),"OH")</f>
        <v>OH</v>
      </c>
      <c r="E294" s="8" t="str">
        <f>IFERROR(__xludf.DUMMYFUNCTION("""COMPUTED_VALUE"""),"USA")</f>
        <v>USA</v>
      </c>
      <c r="F294" s="8" t="str">
        <f>IFERROR(__xludf.DUMMYFUNCTION("""COMPUTED_VALUE"""),"MEN 501 DBLS")</f>
        <v>MEN 501 DBLS</v>
      </c>
      <c r="G294" s="8" t="str">
        <f>IFERROR(__xludf.DUMMYFUNCTION("""COMPUTED_VALUE"""),"1")</f>
        <v>1</v>
      </c>
      <c r="H294" s="8" t="str">
        <f>IFERROR(__xludf.DUMMYFUNCTION("""COMPUTED_VALUE"""),"BS 37 OH")</f>
        <v>BS 37 OH</v>
      </c>
      <c r="I294" s="9">
        <f>IFERROR(__xludf.DUMMYFUNCTION("""COMPUTED_VALUE"""),45078.0)</f>
        <v>45078</v>
      </c>
      <c r="J294" s="9">
        <f>IFERROR(__xludf.DUMMYFUNCTION("""COMPUTED_VALUE"""),46174.0)</f>
        <v>46174</v>
      </c>
      <c r="K294" s="10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7" t="str">
        <f>IFERROR(__xludf.DUMMYFUNCTION("""COMPUTED_VALUE"""),"JONES")</f>
        <v>JONES</v>
      </c>
      <c r="B295" s="8" t="str">
        <f>IFERROR(__xludf.DUMMYFUNCTION("""COMPUTED_VALUE"""),"LEE")</f>
        <v>LEE</v>
      </c>
      <c r="C295" s="8" t="str">
        <f>IFERROR(__xludf.DUMMYFUNCTION("""COMPUTED_VALUE"""),"INDY")</f>
        <v>INDY</v>
      </c>
      <c r="D295" s="8" t="str">
        <f>IFERROR(__xludf.DUMMYFUNCTION("""COMPUTED_VALUE"""),"IN")</f>
        <v>IN</v>
      </c>
      <c r="E295" s="8" t="str">
        <f>IFERROR(__xludf.DUMMYFUNCTION("""COMPUTED_VALUE"""),"USA")</f>
        <v>USA</v>
      </c>
      <c r="F295" s="8" t="str">
        <f>IFERROR(__xludf.DUMMYFUNCTION("""COMPUTED_VALUE"""),"PRO 501 DBLS")</f>
        <v>PRO 501 DBLS</v>
      </c>
      <c r="G295" s="8" t="str">
        <f>IFERROR(__xludf.DUMMYFUNCTION("""COMPUTED_VALUE"""),"3")</f>
        <v>3</v>
      </c>
      <c r="H295" s="8" t="str">
        <f>IFERROR(__xludf.DUMMYFUNCTION("""COMPUTED_VALUE"""),"BS 37 IN")</f>
        <v>BS 37 IN</v>
      </c>
      <c r="I295" s="9">
        <f>IFERROR(__xludf.DUMMYFUNCTION("""COMPUTED_VALUE"""),45078.0)</f>
        <v>45078</v>
      </c>
      <c r="J295" s="9">
        <f>IFERROR(__xludf.DUMMYFUNCTION("""COMPUTED_VALUE"""),46174.0)</f>
        <v>46174</v>
      </c>
      <c r="K295" s="10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7" t="str">
        <f>IFERROR(__xludf.DUMMYFUNCTION("""COMPUTED_VALUE"""),"JONES")</f>
        <v>JONES</v>
      </c>
      <c r="B296" s="8" t="str">
        <f>IFERROR(__xludf.DUMMYFUNCTION("""COMPUTED_VALUE"""),"JOSEPH")</f>
        <v>JOSEPH</v>
      </c>
      <c r="C296" s="8" t="str">
        <f>IFERROR(__xludf.DUMMYFUNCTION("""COMPUTED_VALUE"""),"GLENSHAW")</f>
        <v>GLENSHAW</v>
      </c>
      <c r="D296" s="8" t="str">
        <f>IFERROR(__xludf.DUMMYFUNCTION("""COMPUTED_VALUE"""),"PA")</f>
        <v>PA</v>
      </c>
      <c r="E296" s="8" t="str">
        <f>IFERROR(__xludf.DUMMYFUNCTION("""COMPUTED_VALUE"""),"USA")</f>
        <v>USA</v>
      </c>
      <c r="F296" s="8" t="str">
        <f>IFERROR(__xludf.DUMMYFUNCTION("""COMPUTED_VALUE"""),"MENS PRO SINGLES CRICKET")</f>
        <v>MENS PRO SINGLES CRICKET</v>
      </c>
      <c r="G296" s="8" t="str">
        <f>IFERROR(__xludf.DUMMYFUNCTION("""COMPUTED_VALUE"""),"3RD")</f>
        <v>3RD</v>
      </c>
      <c r="H296" s="8" t="str">
        <f>IFERROR(__xludf.DUMMYFUNCTION("""COMPUTED_VALUE"""),"BS 36 REGIONAL SC")</f>
        <v>BS 36 REGIONAL SC</v>
      </c>
      <c r="I296" s="9">
        <f>IFERROR(__xludf.DUMMYFUNCTION("""COMPUTED_VALUE"""),44713.0)</f>
        <v>44713</v>
      </c>
      <c r="J296" s="9">
        <f>IFERROR(__xludf.DUMMYFUNCTION("""COMPUTED_VALUE"""),45809.0)</f>
        <v>45809</v>
      </c>
      <c r="K296" s="1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7" t="str">
        <f>IFERROR(__xludf.DUMMYFUNCTION("""COMPUTED_VALUE"""),"JORGE")</f>
        <v>JORGE</v>
      </c>
      <c r="B297" s="8" t="str">
        <f>IFERROR(__xludf.DUMMYFUNCTION("""COMPUTED_VALUE"""),"ROAMON")</f>
        <v>ROAMON</v>
      </c>
      <c r="C297" s="8"/>
      <c r="D297" s="8" t="str">
        <f>IFERROR(__xludf.DUMMYFUNCTION("""COMPUTED_VALUE"""),"FL")</f>
        <v>FL</v>
      </c>
      <c r="E297" s="8" t="str">
        <f>IFERROR(__xludf.DUMMYFUNCTION("""COMPUTED_VALUE"""),"USA")</f>
        <v>USA</v>
      </c>
      <c r="F297" s="8" t="str">
        <f>IFERROR(__xludf.DUMMYFUNCTION("""COMPUTED_VALUE"""),"MEN 501 DBLS")</f>
        <v>MEN 501 DBLS</v>
      </c>
      <c r="G297" s="8" t="str">
        <f>IFERROR(__xludf.DUMMYFUNCTION("""COMPUTED_VALUE"""),"2")</f>
        <v>2</v>
      </c>
      <c r="H297" s="8" t="str">
        <f>IFERROR(__xludf.DUMMYFUNCTION("""COMPUTED_VALUE"""),"BS 37 FL")</f>
        <v>BS 37 FL</v>
      </c>
      <c r="I297" s="9">
        <f>IFERROR(__xludf.DUMMYFUNCTION("""COMPUTED_VALUE"""),45078.0)</f>
        <v>45078</v>
      </c>
      <c r="J297" s="9">
        <f>IFERROR(__xludf.DUMMYFUNCTION("""COMPUTED_VALUE"""),46174.0)</f>
        <v>46174</v>
      </c>
      <c r="K297" s="1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7" t="str">
        <f>IFERROR(__xludf.DUMMYFUNCTION("""COMPUTED_VALUE"""),"JOYAL")</f>
        <v>JOYAL</v>
      </c>
      <c r="B298" s="8" t="str">
        <f>IFERROR(__xludf.DUMMYFUNCTION("""COMPUTED_VALUE"""),"TED")</f>
        <v>TED</v>
      </c>
      <c r="C298" s="8" t="str">
        <f>IFERROR(__xludf.DUMMYFUNCTION("""COMPUTED_VALUE"""),"LITTLE RIVER")</f>
        <v>LITTLE RIVER</v>
      </c>
      <c r="D298" s="8" t="str">
        <f>IFERROR(__xludf.DUMMYFUNCTION("""COMPUTED_VALUE"""),"SC")</f>
        <v>SC</v>
      </c>
      <c r="E298" s="8" t="str">
        <f>IFERROR(__xludf.DUMMYFUNCTION("""COMPUTED_VALUE"""),"USA")</f>
        <v>USA</v>
      </c>
      <c r="F298" s="8" t="str">
        <f>IFERROR(__xludf.DUMMYFUNCTION("""COMPUTED_VALUE"""),"MENS DBLS 501")</f>
        <v>MENS DBLS 501</v>
      </c>
      <c r="G298" s="8" t="str">
        <f>IFERROR(__xludf.DUMMYFUNCTION("""COMPUTED_VALUE"""),"2ND")</f>
        <v>2ND</v>
      </c>
      <c r="H298" s="8" t="str">
        <f>IFERROR(__xludf.DUMMYFUNCTION("""COMPUTED_VALUE"""),"BS 36 REGIONAL SC")</f>
        <v>BS 36 REGIONAL SC</v>
      </c>
      <c r="I298" s="9">
        <f>IFERROR(__xludf.DUMMYFUNCTION("""COMPUTED_VALUE"""),44713.0)</f>
        <v>44713</v>
      </c>
      <c r="J298" s="9">
        <f>IFERROR(__xludf.DUMMYFUNCTION("""COMPUTED_VALUE"""),45809.0)</f>
        <v>45809</v>
      </c>
      <c r="K298" s="10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7" t="str">
        <f>IFERROR(__xludf.DUMMYFUNCTION("""COMPUTED_VALUE"""),"Kee")</f>
        <v>Kee</v>
      </c>
      <c r="B299" s="8" t="str">
        <f>IFERROR(__xludf.DUMMYFUNCTION("""COMPUTED_VALUE"""),"William")</f>
        <v>William</v>
      </c>
      <c r="C299" s="8" t="str">
        <f>IFERROR(__xludf.DUMMYFUNCTION("""COMPUTED_VALUE"""),"Phoenix")</f>
        <v>Phoenix</v>
      </c>
      <c r="D299" s="8" t="str">
        <f>IFERROR(__xludf.DUMMYFUNCTION("""COMPUTED_VALUE"""),"AZ")</f>
        <v>AZ</v>
      </c>
      <c r="E299" s="8"/>
      <c r="F299" s="8" t="str">
        <f>IFERROR(__xludf.DUMMYFUNCTION("""COMPUTED_VALUE"""),"Men Singles")</f>
        <v>Men Singles</v>
      </c>
      <c r="G299" s="8" t="str">
        <f>IFERROR(__xludf.DUMMYFUNCTION("""COMPUTED_VALUE"""),"1st")</f>
        <v>1st</v>
      </c>
      <c r="H299" s="8" t="str">
        <f>IFERROR(__xludf.DUMMYFUNCTION("""COMPUTED_VALUE"""),"AZ BS 38")</f>
        <v>AZ BS 38</v>
      </c>
      <c r="I299" s="9">
        <f>IFERROR(__xludf.DUMMYFUNCTION("""COMPUTED_VALUE"""),45444.0)</f>
        <v>45444</v>
      </c>
      <c r="J299" s="9">
        <f>IFERROR(__xludf.DUMMYFUNCTION("""COMPUTED_VALUE"""),46539.0)</f>
        <v>46539</v>
      </c>
      <c r="K299" s="10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7" t="str">
        <f>IFERROR(__xludf.DUMMYFUNCTION("""COMPUTED_VALUE"""),"Kekic")</f>
        <v>Kekic</v>
      </c>
      <c r="B300" s="8" t="str">
        <f>IFERROR(__xludf.DUMMYFUNCTION("""COMPUTED_VALUE"""),"Zachery")</f>
        <v>Zachery</v>
      </c>
      <c r="C300" s="8" t="str">
        <f>IFERROR(__xludf.DUMMYFUNCTION("""COMPUTED_VALUE"""),"Phoenix")</f>
        <v>Phoenix</v>
      </c>
      <c r="D300" s="8" t="str">
        <f>IFERROR(__xludf.DUMMYFUNCTION("""COMPUTED_VALUE"""),"AZ")</f>
        <v>AZ</v>
      </c>
      <c r="E300" s="8"/>
      <c r="F300" s="8" t="str">
        <f>IFERROR(__xludf.DUMMYFUNCTION("""COMPUTED_VALUE"""),"Men Cricket Dbls")</f>
        <v>Men Cricket Dbls</v>
      </c>
      <c r="G300" s="8" t="str">
        <f>IFERROR(__xludf.DUMMYFUNCTION("""COMPUTED_VALUE"""),"2nd")</f>
        <v>2nd</v>
      </c>
      <c r="H300" s="8" t="str">
        <f>IFERROR(__xludf.DUMMYFUNCTION("""COMPUTED_VALUE"""),"AZ BS 38")</f>
        <v>AZ BS 38</v>
      </c>
      <c r="I300" s="9">
        <f>IFERROR(__xludf.DUMMYFUNCTION("""COMPUTED_VALUE"""),45444.0)</f>
        <v>45444</v>
      </c>
      <c r="J300" s="9">
        <f>IFERROR(__xludf.DUMMYFUNCTION("""COMPUTED_VALUE"""),46539.0)</f>
        <v>46539</v>
      </c>
      <c r="K300" s="1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7" t="str">
        <f>IFERROR(__xludf.DUMMYFUNCTION("""COMPUTED_VALUE"""),"Keller")</f>
        <v>Keller</v>
      </c>
      <c r="B301" s="8" t="str">
        <f>IFERROR(__xludf.DUMMYFUNCTION("""COMPUTED_VALUE"""),"Thomas")</f>
        <v>Thomas</v>
      </c>
      <c r="C301" s="8" t="str">
        <f>IFERROR(__xludf.DUMMYFUNCTION("""COMPUTED_VALUE"""),"Jacksonville")</f>
        <v>Jacksonville</v>
      </c>
      <c r="D301" s="8" t="str">
        <f>IFERROR(__xludf.DUMMYFUNCTION("""COMPUTED_VALUE"""),"MI")</f>
        <v>MI</v>
      </c>
      <c r="E301" s="8"/>
      <c r="F301" s="8" t="str">
        <f>IFERROR(__xludf.DUMMYFUNCTION("""COMPUTED_VALUE"""),"Men 501 Dbls")</f>
        <v>Men 501 Dbls</v>
      </c>
      <c r="G301" s="8" t="str">
        <f>IFERROR(__xludf.DUMMYFUNCTION("""COMPUTED_VALUE"""),"3rd")</f>
        <v>3rd</v>
      </c>
      <c r="H301" s="8" t="str">
        <f>IFERROR(__xludf.DUMMYFUNCTION("""COMPUTED_VALUE"""),"MI BS 38")</f>
        <v>MI BS 38</v>
      </c>
      <c r="I301" s="9">
        <f>IFERROR(__xludf.DUMMYFUNCTION("""COMPUTED_VALUE"""),45444.0)</f>
        <v>45444</v>
      </c>
      <c r="J301" s="9">
        <f>IFERROR(__xludf.DUMMYFUNCTION("""COMPUTED_VALUE"""),46539.0)</f>
        <v>46539</v>
      </c>
      <c r="K301" s="1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7" t="str">
        <f>IFERROR(__xludf.DUMMYFUNCTION("""COMPUTED_VALUE"""),"Kelly")</f>
        <v>Kelly</v>
      </c>
      <c r="B302" s="8" t="str">
        <f>IFERROR(__xludf.DUMMYFUNCTION("""COMPUTED_VALUE"""),"Thornton")</f>
        <v>Thornton</v>
      </c>
      <c r="C302" s="8" t="str">
        <f>IFERROR(__xludf.DUMMYFUNCTION("""COMPUTED_VALUE"""),"Verbena")</f>
        <v>Verbena</v>
      </c>
      <c r="D302" s="8" t="str">
        <f>IFERROR(__xludf.DUMMYFUNCTION("""COMPUTED_VALUE"""),"AL")</f>
        <v>AL</v>
      </c>
      <c r="E302" s="8"/>
      <c r="F302" s="8" t="str">
        <f>IFERROR(__xludf.DUMMYFUNCTION("""COMPUTED_VALUE"""),"Pro/Am")</f>
        <v>Pro/Am</v>
      </c>
      <c r="G302" s="8" t="str">
        <f>IFERROR(__xludf.DUMMYFUNCTION("""COMPUTED_VALUE"""),"2nd")</f>
        <v>2nd</v>
      </c>
      <c r="H302" s="8" t="str">
        <f>IFERROR(__xludf.DUMMYFUNCTION("""COMPUTED_VALUE"""),"TN BS 38")</f>
        <v>TN BS 38</v>
      </c>
      <c r="I302" s="9">
        <f>IFERROR(__xludf.DUMMYFUNCTION("""COMPUTED_VALUE"""),45444.0)</f>
        <v>45444</v>
      </c>
      <c r="J302" s="9">
        <f>IFERROR(__xludf.DUMMYFUNCTION("""COMPUTED_VALUE"""),46539.0)</f>
        <v>46539</v>
      </c>
      <c r="K302" s="10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7" t="str">
        <f>IFERROR(__xludf.DUMMYFUNCTION("""COMPUTED_VALUE"""),"KENT")</f>
        <v>KENT</v>
      </c>
      <c r="B303" s="8" t="str">
        <f>IFERROR(__xludf.DUMMYFUNCTION("""COMPUTED_VALUE"""),"CORY")</f>
        <v>CORY</v>
      </c>
      <c r="C303" s="8" t="str">
        <f>IFERROR(__xludf.DUMMYFUNCTION("""COMPUTED_VALUE"""),"ROCHESTER")</f>
        <v>ROCHESTER</v>
      </c>
      <c r="D303" s="8" t="str">
        <f>IFERROR(__xludf.DUMMYFUNCTION("""COMPUTED_VALUE"""),"NY")</f>
        <v>NY</v>
      </c>
      <c r="E303" s="8" t="str">
        <f>IFERROR(__xludf.DUMMYFUNCTION("""COMPUTED_VALUE"""),"USA")</f>
        <v>USA</v>
      </c>
      <c r="F303" s="8" t="str">
        <f>IFERROR(__xludf.DUMMYFUNCTION("""COMPUTED_VALUE"""),"MEN CRICKET DBLS")</f>
        <v>MEN CRICKET DBLS</v>
      </c>
      <c r="G303" s="8" t="str">
        <f>IFERROR(__xludf.DUMMYFUNCTION("""COMPUTED_VALUE"""),"1")</f>
        <v>1</v>
      </c>
      <c r="H303" s="8" t="str">
        <f>IFERROR(__xludf.DUMMYFUNCTION("""COMPUTED_VALUE"""),"BS 37 PA")</f>
        <v>BS 37 PA</v>
      </c>
      <c r="I303" s="9">
        <f>IFERROR(__xludf.DUMMYFUNCTION("""COMPUTED_VALUE"""),45078.0)</f>
        <v>45078</v>
      </c>
      <c r="J303" s="9">
        <f>IFERROR(__xludf.DUMMYFUNCTION("""COMPUTED_VALUE"""),46174.0)</f>
        <v>46174</v>
      </c>
      <c r="K303" s="10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7" t="str">
        <f>IFERROR(__xludf.DUMMYFUNCTION("""COMPUTED_VALUE"""),"Kern")</f>
        <v>Kern</v>
      </c>
      <c r="B304" s="8" t="str">
        <f>IFERROR(__xludf.DUMMYFUNCTION("""COMPUTED_VALUE"""),"Matthew")</f>
        <v>Matthew</v>
      </c>
      <c r="C304" s="8" t="str">
        <f>IFERROR(__xludf.DUMMYFUNCTION("""COMPUTED_VALUE"""),"Phoenix")</f>
        <v>Phoenix</v>
      </c>
      <c r="D304" s="8" t="str">
        <f>IFERROR(__xludf.DUMMYFUNCTION("""COMPUTED_VALUE"""),"AZ")</f>
        <v>AZ</v>
      </c>
      <c r="E304" s="8"/>
      <c r="F304" s="8" t="str">
        <f>IFERROR(__xludf.DUMMYFUNCTION("""COMPUTED_VALUE"""),"Men 501 Dbls")</f>
        <v>Men 501 Dbls</v>
      </c>
      <c r="G304" s="8" t="str">
        <f>IFERROR(__xludf.DUMMYFUNCTION("""COMPUTED_VALUE"""),"3rd")</f>
        <v>3rd</v>
      </c>
      <c r="H304" s="8" t="str">
        <f>IFERROR(__xludf.DUMMYFUNCTION("""COMPUTED_VALUE"""),"AZ BS 38")</f>
        <v>AZ BS 38</v>
      </c>
      <c r="I304" s="9">
        <f>IFERROR(__xludf.DUMMYFUNCTION("""COMPUTED_VALUE"""),45444.0)</f>
        <v>45444</v>
      </c>
      <c r="J304" s="9">
        <f>IFERROR(__xludf.DUMMYFUNCTION("""COMPUTED_VALUE"""),46539.0)</f>
        <v>46539</v>
      </c>
      <c r="K304" s="1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7" t="str">
        <f>IFERROR(__xludf.DUMMYFUNCTION("""COMPUTED_VALUE"""),"Kessler")</f>
        <v>Kessler</v>
      </c>
      <c r="B305" s="8" t="str">
        <f>IFERROR(__xludf.DUMMYFUNCTION("""COMPUTED_VALUE"""),"Brandon")</f>
        <v>Brandon</v>
      </c>
      <c r="C305" s="8" t="str">
        <f>IFERROR(__xludf.DUMMYFUNCTION("""COMPUTED_VALUE"""),"Carey")</f>
        <v>Carey</v>
      </c>
      <c r="D305" s="8" t="str">
        <f>IFERROR(__xludf.DUMMYFUNCTION("""COMPUTED_VALUE"""),"OH")</f>
        <v>OH</v>
      </c>
      <c r="E305" s="8"/>
      <c r="F305" s="8" t="str">
        <f>IFERROR(__xludf.DUMMYFUNCTION("""COMPUTED_VALUE"""),"Mixed Trips")</f>
        <v>Mixed Trips</v>
      </c>
      <c r="G305" s="8" t="str">
        <f>IFERROR(__xludf.DUMMYFUNCTION("""COMPUTED_VALUE"""),"1st")</f>
        <v>1st</v>
      </c>
      <c r="H305" s="8" t="str">
        <f>IFERROR(__xludf.DUMMYFUNCTION("""COMPUTED_VALUE"""),"OH BS 38")</f>
        <v>OH BS 38</v>
      </c>
      <c r="I305" s="9">
        <f>IFERROR(__xludf.DUMMYFUNCTION("""COMPUTED_VALUE"""),45444.0)</f>
        <v>45444</v>
      </c>
      <c r="J305" s="9">
        <f>IFERROR(__xludf.DUMMYFUNCTION("""COMPUTED_VALUE"""),46539.0)</f>
        <v>46539</v>
      </c>
      <c r="K305" s="1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7" t="str">
        <f>IFERROR(__xludf.DUMMYFUNCTION("""COMPUTED_VALUE"""),"Kidd")</f>
        <v>Kidd</v>
      </c>
      <c r="B306" s="8" t="str">
        <f>IFERROR(__xludf.DUMMYFUNCTION("""COMPUTED_VALUE"""),"Gary")</f>
        <v>Gary</v>
      </c>
      <c r="C306" s="8" t="str">
        <f>IFERROR(__xludf.DUMMYFUNCTION("""COMPUTED_VALUE"""),"Pittsburgh")</f>
        <v>Pittsburgh</v>
      </c>
      <c r="D306" s="8" t="str">
        <f>IFERROR(__xludf.DUMMYFUNCTION("""COMPUTED_VALUE"""),"PA")</f>
        <v>PA</v>
      </c>
      <c r="E306" s="8"/>
      <c r="F306" s="8" t="str">
        <f>IFERROR(__xludf.DUMMYFUNCTION("""COMPUTED_VALUE"""),"Men 501 Dbls")</f>
        <v>Men 501 Dbls</v>
      </c>
      <c r="G306" s="8" t="str">
        <f>IFERROR(__xludf.DUMMYFUNCTION("""COMPUTED_VALUE"""),"1st")</f>
        <v>1st</v>
      </c>
      <c r="H306" s="8" t="str">
        <f>IFERROR(__xludf.DUMMYFUNCTION("""COMPUTED_VALUE"""),"PA BS 38")</f>
        <v>PA BS 38</v>
      </c>
      <c r="I306" s="9">
        <f>IFERROR(__xludf.DUMMYFUNCTION("""COMPUTED_VALUE"""),45444.0)</f>
        <v>45444</v>
      </c>
      <c r="J306" s="9">
        <f>IFERROR(__xludf.DUMMYFUNCTION("""COMPUTED_VALUE"""),46539.0)</f>
        <v>46539</v>
      </c>
      <c r="K306" s="10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7" t="str">
        <f>IFERROR(__xludf.DUMMYFUNCTION("""COMPUTED_VALUE"""),"KIELMAN")</f>
        <v>KIELMAN</v>
      </c>
      <c r="B307" s="8" t="str">
        <f>IFERROR(__xludf.DUMMYFUNCTION("""COMPUTED_VALUE"""),"NICHOLAS")</f>
        <v>NICHOLAS</v>
      </c>
      <c r="C307" s="8" t="str">
        <f>IFERROR(__xludf.DUMMYFUNCTION("""COMPUTED_VALUE"""),"JACKSONVILLE")</f>
        <v>JACKSONVILLE</v>
      </c>
      <c r="D307" s="8" t="str">
        <f>IFERROR(__xludf.DUMMYFUNCTION("""COMPUTED_VALUE"""),"FL")</f>
        <v>FL</v>
      </c>
      <c r="E307" s="8" t="str">
        <f>IFERROR(__xludf.DUMMYFUNCTION("""COMPUTED_VALUE"""),"USA")</f>
        <v>USA</v>
      </c>
      <c r="F307" s="8" t="str">
        <f>IFERROR(__xludf.DUMMYFUNCTION("""COMPUTED_VALUE"""),"MENS DBLS 501")</f>
        <v>MENS DBLS 501</v>
      </c>
      <c r="G307" s="8" t="str">
        <f>IFERROR(__xludf.DUMMYFUNCTION("""COMPUTED_VALUE"""),"1ST")</f>
        <v>1ST</v>
      </c>
      <c r="H307" s="8" t="str">
        <f>IFERROR(__xludf.DUMMYFUNCTION("""COMPUTED_VALUE"""),"BS 36 REGIONAL SC")</f>
        <v>BS 36 REGIONAL SC</v>
      </c>
      <c r="I307" s="9">
        <f>IFERROR(__xludf.DUMMYFUNCTION("""COMPUTED_VALUE"""),44713.0)</f>
        <v>44713</v>
      </c>
      <c r="J307" s="9">
        <f>IFERROR(__xludf.DUMMYFUNCTION("""COMPUTED_VALUE"""),45809.0)</f>
        <v>45809</v>
      </c>
      <c r="K307" s="10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7" t="str">
        <f>IFERROR(__xludf.DUMMYFUNCTION("""COMPUTED_VALUE"""),"KING")</f>
        <v>KING</v>
      </c>
      <c r="B308" s="8" t="str">
        <f>IFERROR(__xludf.DUMMYFUNCTION("""COMPUTED_VALUE"""),"SAM")</f>
        <v>SAM</v>
      </c>
      <c r="C308" s="8" t="str">
        <f>IFERROR(__xludf.DUMMYFUNCTION("""COMPUTED_VALUE"""),"MILWAUKEE")</f>
        <v>MILWAUKEE</v>
      </c>
      <c r="D308" s="8" t="str">
        <f>IFERROR(__xludf.DUMMYFUNCTION("""COMPUTED_VALUE"""),"WI")</f>
        <v>WI</v>
      </c>
      <c r="E308" s="8" t="str">
        <f>IFERROR(__xludf.DUMMYFUNCTION("""COMPUTED_VALUE"""),"USA")</f>
        <v>USA</v>
      </c>
      <c r="F308" s="8" t="str">
        <f>IFERROR(__xludf.DUMMYFUNCTION("""COMPUTED_VALUE"""),"MENS DBLS 501")</f>
        <v>MENS DBLS 501</v>
      </c>
      <c r="G308" s="8" t="str">
        <f>IFERROR(__xludf.DUMMYFUNCTION("""COMPUTED_VALUE"""),"2ND")</f>
        <v>2ND</v>
      </c>
      <c r="H308" s="8" t="str">
        <f>IFERROR(__xludf.DUMMYFUNCTION("""COMPUTED_VALUE"""),"BS 36 REGIONAL NE")</f>
        <v>BS 36 REGIONAL NE</v>
      </c>
      <c r="I308" s="9">
        <f>IFERROR(__xludf.DUMMYFUNCTION("""COMPUTED_VALUE"""),44713.0)</f>
        <v>44713</v>
      </c>
      <c r="J308" s="9">
        <f>IFERROR(__xludf.DUMMYFUNCTION("""COMPUTED_VALUE"""),45809.0)</f>
        <v>45809</v>
      </c>
      <c r="K308" s="1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7" t="str">
        <f>IFERROR(__xludf.DUMMYFUNCTION("""COMPUTED_VALUE"""),"KINKENZELLER")</f>
        <v>KINKENZELLER</v>
      </c>
      <c r="B309" s="8" t="str">
        <f>IFERROR(__xludf.DUMMYFUNCTION("""COMPUTED_VALUE"""),"ERIK")</f>
        <v>ERIK</v>
      </c>
      <c r="C309" s="8" t="str">
        <f>IFERROR(__xludf.DUMMYFUNCTION("""COMPUTED_VALUE"""),"WATERBURY")</f>
        <v>WATERBURY</v>
      </c>
      <c r="D309" s="8" t="str">
        <f>IFERROR(__xludf.DUMMYFUNCTION("""COMPUTED_VALUE"""),"CT")</f>
        <v>CT</v>
      </c>
      <c r="E309" s="8" t="str">
        <f>IFERROR(__xludf.DUMMYFUNCTION("""COMPUTED_VALUE"""),"USA")</f>
        <v>USA</v>
      </c>
      <c r="F309" s="8" t="str">
        <f>IFERROR(__xludf.DUMMYFUNCTION("""COMPUTED_VALUE"""),"MENS DBLS CRICKET")</f>
        <v>MENS DBLS CRICKET</v>
      </c>
      <c r="G309" s="8" t="str">
        <f>IFERROR(__xludf.DUMMYFUNCTION("""COMPUTED_VALUE"""),"3RD")</f>
        <v>3RD</v>
      </c>
      <c r="H309" s="8" t="str">
        <f>IFERROR(__xludf.DUMMYFUNCTION("""COMPUTED_VALUE"""),"BS 36 REGIONAL FL")</f>
        <v>BS 36 REGIONAL FL</v>
      </c>
      <c r="I309" s="9">
        <f>IFERROR(__xludf.DUMMYFUNCTION("""COMPUTED_VALUE"""),44713.0)</f>
        <v>44713</v>
      </c>
      <c r="J309" s="9">
        <f>IFERROR(__xludf.DUMMYFUNCTION("""COMPUTED_VALUE"""),45809.0)</f>
        <v>45809</v>
      </c>
      <c r="K309" s="1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7" t="str">
        <f>IFERROR(__xludf.DUMMYFUNCTION("""COMPUTED_VALUE"""),"KIRBY")</f>
        <v>KIRBY</v>
      </c>
      <c r="B310" s="8" t="str">
        <f>IFERROR(__xludf.DUMMYFUNCTION("""COMPUTED_VALUE"""),"CRAIG")</f>
        <v>CRAIG</v>
      </c>
      <c r="C310" s="8" t="str">
        <f>IFERROR(__xludf.DUMMYFUNCTION("""COMPUTED_VALUE"""),"PEORIA")</f>
        <v>PEORIA</v>
      </c>
      <c r="D310" s="8" t="str">
        <f>IFERROR(__xludf.DUMMYFUNCTION("""COMPUTED_VALUE"""),"AZ")</f>
        <v>AZ</v>
      </c>
      <c r="E310" s="8" t="str">
        <f>IFERROR(__xludf.DUMMYFUNCTION("""COMPUTED_VALUE"""),"USA")</f>
        <v>USA</v>
      </c>
      <c r="F310" s="8" t="str">
        <f>IFERROR(__xludf.DUMMYFUNCTION("""COMPUTED_VALUE"""),"MENS DBLS 501")</f>
        <v>MENS DBLS 501</v>
      </c>
      <c r="G310" s="8" t="str">
        <f>IFERROR(__xludf.DUMMYFUNCTION("""COMPUTED_VALUE"""),"3RD")</f>
        <v>3RD</v>
      </c>
      <c r="H310" s="8" t="str">
        <f>IFERROR(__xludf.DUMMYFUNCTION("""COMPUTED_VALUE"""),"BS 36 REGIONAL AZ")</f>
        <v>BS 36 REGIONAL AZ</v>
      </c>
      <c r="I310" s="9">
        <f>IFERROR(__xludf.DUMMYFUNCTION("""COMPUTED_VALUE"""),44713.0)</f>
        <v>44713</v>
      </c>
      <c r="J310" s="9">
        <f>IFERROR(__xludf.DUMMYFUNCTION("""COMPUTED_VALUE"""),45809.0)</f>
        <v>45809</v>
      </c>
      <c r="K310" s="10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7" t="str">
        <f>IFERROR(__xludf.DUMMYFUNCTION("""COMPUTED_VALUE"""),"Kirchner")</f>
        <v>Kirchner</v>
      </c>
      <c r="B311" s="8" t="str">
        <f>IFERROR(__xludf.DUMMYFUNCTION("""COMPUTED_VALUE"""),"Scott")</f>
        <v>Scott</v>
      </c>
      <c r="C311" s="8" t="str">
        <f>IFERROR(__xludf.DUMMYFUNCTION("""COMPUTED_VALUE"""),"Janesville")</f>
        <v>Janesville</v>
      </c>
      <c r="D311" s="8" t="str">
        <f>IFERROR(__xludf.DUMMYFUNCTION("""COMPUTED_VALUE"""),"WI")</f>
        <v>WI</v>
      </c>
      <c r="E311" s="8" t="str">
        <f>IFERROR(__xludf.DUMMYFUNCTION("""COMPUTED_VALUE"""),"USA")</f>
        <v>USA</v>
      </c>
      <c r="F311" s="8" t="str">
        <f>IFERROR(__xludf.DUMMYFUNCTION("""COMPUTED_VALUE"""),"DL")</f>
        <v>DL</v>
      </c>
      <c r="G311" s="8" t="str">
        <f>IFERROR(__xludf.DUMMYFUNCTION("""COMPUTED_VALUE"""),"13th")</f>
        <v>13th</v>
      </c>
      <c r="H311" s="8" t="str">
        <f>IFERROR(__xludf.DUMMYFUNCTION("""COMPUTED_VALUE"""),"Known Ability")</f>
        <v>Known Ability</v>
      </c>
      <c r="I311" s="9">
        <f>IFERROR(__xludf.DUMMYFUNCTION("""COMPUTED_VALUE"""),43136.0)</f>
        <v>43136</v>
      </c>
      <c r="J311" s="9">
        <f>IFERROR(__xludf.DUMMYFUNCTION("""COMPUTED_VALUE"""),47635.0)</f>
        <v>47635</v>
      </c>
      <c r="K311" s="10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7" t="str">
        <f>IFERROR(__xludf.DUMMYFUNCTION("""COMPUTED_VALUE"""),"KIRCHNER")</f>
        <v>KIRCHNER</v>
      </c>
      <c r="B312" s="8" t="str">
        <f>IFERROR(__xludf.DUMMYFUNCTION("""COMPUTED_VALUE"""),"JACOB")</f>
        <v>JACOB</v>
      </c>
      <c r="C312" s="8" t="str">
        <f>IFERROR(__xludf.DUMMYFUNCTION("""COMPUTED_VALUE"""),"JANESVILLE")</f>
        <v>JANESVILLE</v>
      </c>
      <c r="D312" s="8" t="str">
        <f>IFERROR(__xludf.DUMMYFUNCTION("""COMPUTED_VALUE"""),"WI")</f>
        <v>WI</v>
      </c>
      <c r="E312" s="8" t="str">
        <f>IFERROR(__xludf.DUMMYFUNCTION("""COMPUTED_VALUE"""),"USA")</f>
        <v>USA</v>
      </c>
      <c r="F312" s="8" t="str">
        <f>IFERROR(__xludf.DUMMYFUNCTION("""COMPUTED_VALUE"""),"TOPGUN NONPRO TRIPLES")</f>
        <v>TOPGUN NONPRO TRIPLES</v>
      </c>
      <c r="G312" s="8" t="str">
        <f>IFERROR(__xludf.DUMMYFUNCTION("""COMPUTED_VALUE"""),"2")</f>
        <v>2</v>
      </c>
      <c r="H312" s="8" t="str">
        <f>IFERROR(__xludf.DUMMYFUNCTION("""COMPUTED_VALUE"""),"BS 37 FINALS")</f>
        <v>BS 37 FINALS</v>
      </c>
      <c r="I312" s="9">
        <f>IFERROR(__xludf.DUMMYFUNCTION("""COMPUTED_VALUE"""),45078.0)</f>
        <v>45078</v>
      </c>
      <c r="J312" s="9">
        <f>IFERROR(__xludf.DUMMYFUNCTION("""COMPUTED_VALUE"""),46174.0)</f>
        <v>46174</v>
      </c>
      <c r="K312" s="10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7" t="str">
        <f>IFERROR(__xludf.DUMMYFUNCTION("""COMPUTED_VALUE"""),"KLINEFELTER")</f>
        <v>KLINEFELTER</v>
      </c>
      <c r="B313" s="8" t="str">
        <f>IFERROR(__xludf.DUMMYFUNCTION("""COMPUTED_VALUE"""),"ADAM")</f>
        <v>ADAM</v>
      </c>
      <c r="C313" s="8" t="str">
        <f>IFERROR(__xludf.DUMMYFUNCTION("""COMPUTED_VALUE"""),"INDIANAPOLIS")</f>
        <v>INDIANAPOLIS</v>
      </c>
      <c r="D313" s="8" t="str">
        <f>IFERROR(__xludf.DUMMYFUNCTION("""COMPUTED_VALUE"""),"IN")</f>
        <v>IN</v>
      </c>
      <c r="E313" s="8" t="str">
        <f>IFERROR(__xludf.DUMMYFUNCTION("""COMPUTED_VALUE"""),"USA")</f>
        <v>USA</v>
      </c>
      <c r="F313" s="8" t="str">
        <f>IFERROR(__xludf.DUMMYFUNCTION("""COMPUTED_VALUE"""),"PRO SINGLES 501")</f>
        <v>PRO SINGLES 501</v>
      </c>
      <c r="G313" s="8" t="str">
        <f>IFERROR(__xludf.DUMMYFUNCTION("""COMPUTED_VALUE"""),"5TH")</f>
        <v>5TH</v>
      </c>
      <c r="H313" s="8" t="str">
        <f>IFERROR(__xludf.DUMMYFUNCTION("""COMPUTED_VALUE"""),"BULLSHOOTER 36 FINALS")</f>
        <v>BULLSHOOTER 36 FINALS</v>
      </c>
      <c r="I313" s="9">
        <f>IFERROR(__xludf.DUMMYFUNCTION("""COMPUTED_VALUE"""),44713.0)</f>
        <v>44713</v>
      </c>
      <c r="J313" s="9">
        <f>IFERROR(__xludf.DUMMYFUNCTION("""COMPUTED_VALUE"""),45809.0)</f>
        <v>45809</v>
      </c>
      <c r="K313" s="1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7" t="str">
        <f>IFERROR(__xludf.DUMMYFUNCTION("""COMPUTED_VALUE"""),"KONCHALSKI")</f>
        <v>KONCHALSKI</v>
      </c>
      <c r="B314" s="8" t="str">
        <f>IFERROR(__xludf.DUMMYFUNCTION("""COMPUTED_VALUE"""),"TONY")</f>
        <v>TONY</v>
      </c>
      <c r="C314" s="8" t="str">
        <f>IFERROR(__xludf.DUMMYFUNCTION("""COMPUTED_VALUE"""),"DES MOINES")</f>
        <v>DES MOINES</v>
      </c>
      <c r="D314" s="8" t="str">
        <f>IFERROR(__xludf.DUMMYFUNCTION("""COMPUTED_VALUE"""),"IA")</f>
        <v>IA</v>
      </c>
      <c r="E314" s="8" t="str">
        <f>IFERROR(__xludf.DUMMYFUNCTION("""COMPUTED_VALUE"""),"USA")</f>
        <v>USA</v>
      </c>
      <c r="F314" s="8" t="str">
        <f>IFERROR(__xludf.DUMMYFUNCTION("""COMPUTED_VALUE"""),"MEN 501 DBLS")</f>
        <v>MEN 501 DBLS</v>
      </c>
      <c r="G314" s="8" t="str">
        <f>IFERROR(__xludf.DUMMYFUNCTION("""COMPUTED_VALUE"""),"1")</f>
        <v>1</v>
      </c>
      <c r="H314" s="8" t="str">
        <f>IFERROR(__xludf.DUMMYFUNCTION("""COMPUTED_VALUE"""),"BS 37 NE")</f>
        <v>BS 37 NE</v>
      </c>
      <c r="I314" s="9">
        <f>IFERROR(__xludf.DUMMYFUNCTION("""COMPUTED_VALUE"""),45078.0)</f>
        <v>45078</v>
      </c>
      <c r="J314" s="9">
        <f>IFERROR(__xludf.DUMMYFUNCTION("""COMPUTED_VALUE"""),46174.0)</f>
        <v>46174</v>
      </c>
      <c r="K314" s="1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7" t="str">
        <f>IFERROR(__xludf.DUMMYFUNCTION("""COMPUTED_VALUE"""),"KORMICK")</f>
        <v>KORMICK</v>
      </c>
      <c r="B315" s="8" t="str">
        <f>IFERROR(__xludf.DUMMYFUNCTION("""COMPUTED_VALUE"""),"GENARD")</f>
        <v>GENARD</v>
      </c>
      <c r="C315" s="8" t="str">
        <f>IFERROR(__xludf.DUMMYFUNCTION("""COMPUTED_VALUE"""),"PITTSBURGH")</f>
        <v>PITTSBURGH</v>
      </c>
      <c r="D315" s="8" t="str">
        <f>IFERROR(__xludf.DUMMYFUNCTION("""COMPUTED_VALUE"""),"PA")</f>
        <v>PA</v>
      </c>
      <c r="E315" s="8" t="str">
        <f>IFERROR(__xludf.DUMMYFUNCTION("""COMPUTED_VALUE"""),"USA")</f>
        <v>USA</v>
      </c>
      <c r="F315" s="8" t="str">
        <f>IFERROR(__xludf.DUMMYFUNCTION("""COMPUTED_VALUE"""),"MENS DBLS CRICKET")</f>
        <v>MENS DBLS CRICKET</v>
      </c>
      <c r="G315" s="8" t="str">
        <f>IFERROR(__xludf.DUMMYFUNCTION("""COMPUTED_VALUE"""),"3RD")</f>
        <v>3RD</v>
      </c>
      <c r="H315" s="8" t="str">
        <f>IFERROR(__xludf.DUMMYFUNCTION("""COMPUTED_VALUE"""),"BS 36 REGIONAL PA")</f>
        <v>BS 36 REGIONAL PA</v>
      </c>
      <c r="I315" s="9">
        <f>IFERROR(__xludf.DUMMYFUNCTION("""COMPUTED_VALUE"""),44713.0)</f>
        <v>44713</v>
      </c>
      <c r="J315" s="9">
        <f>IFERROR(__xludf.DUMMYFUNCTION("""COMPUTED_VALUE"""),45809.0)</f>
        <v>45809</v>
      </c>
      <c r="K315" s="1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7" t="str">
        <f>IFERROR(__xludf.DUMMYFUNCTION("""COMPUTED_VALUE"""),"Krcmar")</f>
        <v>Krcmar</v>
      </c>
      <c r="B316" s="8" t="str">
        <f>IFERROR(__xludf.DUMMYFUNCTION("""COMPUTED_VALUE"""),"Boris")</f>
        <v>Boris</v>
      </c>
      <c r="C316" s="8"/>
      <c r="D316" s="8"/>
      <c r="E316" s="8" t="str">
        <f>IFERROR(__xludf.DUMMYFUNCTION("""COMPUTED_VALUE"""),"CROATIA")</f>
        <v>CROATIA</v>
      </c>
      <c r="F316" s="8" t="str">
        <f>IFERROR(__xludf.DUMMYFUNCTION("""COMPUTED_VALUE"""),"TopGun Pro A/AA Singles")</f>
        <v>TopGun Pro A/AA Singles</v>
      </c>
      <c r="G316" s="8" t="str">
        <f>IFERROR(__xludf.DUMMYFUNCTION("""COMPUTED_VALUE"""),"1st")</f>
        <v>1st</v>
      </c>
      <c r="H316" s="8" t="str">
        <f>IFERROR(__xludf.DUMMYFUNCTION("""COMPUTED_VALUE"""),"BullShooter 34 Finals")</f>
        <v>BullShooter 34 Finals</v>
      </c>
      <c r="I316" s="9">
        <f>IFERROR(__xludf.DUMMYFUNCTION("""COMPUTED_VALUE"""),43617.0)</f>
        <v>43617</v>
      </c>
      <c r="J316" s="9">
        <f>IFERROR(__xludf.DUMMYFUNCTION("""COMPUTED_VALUE"""),45809.0)</f>
        <v>45809</v>
      </c>
      <c r="K316" s="1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7" t="str">
        <f>IFERROR(__xludf.DUMMYFUNCTION("""COMPUTED_VALUE"""),"KROH")</f>
        <v>KROH</v>
      </c>
      <c r="B317" s="8" t="str">
        <f>IFERROR(__xludf.DUMMYFUNCTION("""COMPUTED_VALUE"""),"JASON")</f>
        <v>JASON</v>
      </c>
      <c r="C317" s="8" t="str">
        <f>IFERROR(__xludf.DUMMYFUNCTION("""COMPUTED_VALUE"""),"PINE GROVE")</f>
        <v>PINE GROVE</v>
      </c>
      <c r="D317" s="8" t="str">
        <f>IFERROR(__xludf.DUMMYFUNCTION("""COMPUTED_VALUE"""),"PA")</f>
        <v>PA</v>
      </c>
      <c r="E317" s="8" t="str">
        <f>IFERROR(__xludf.DUMMYFUNCTION("""COMPUTED_VALUE"""),"USA")</f>
        <v>USA</v>
      </c>
      <c r="F317" s="8" t="str">
        <f>IFERROR(__xludf.DUMMYFUNCTION("""COMPUTED_VALUE"""),"MENS SINGLES CRICKET")</f>
        <v>MENS SINGLES CRICKET</v>
      </c>
      <c r="G317" s="8" t="str">
        <f>IFERROR(__xludf.DUMMYFUNCTION("""COMPUTED_VALUE"""),"1ST")</f>
        <v>1ST</v>
      </c>
      <c r="H317" s="8" t="str">
        <f>IFERROR(__xludf.DUMMYFUNCTION("""COMPUTED_VALUE"""),"BS 36 REGIONAL PA")</f>
        <v>BS 36 REGIONAL PA</v>
      </c>
      <c r="I317" s="9">
        <f>IFERROR(__xludf.DUMMYFUNCTION("""COMPUTED_VALUE"""),44713.0)</f>
        <v>44713</v>
      </c>
      <c r="J317" s="9">
        <f>IFERROR(__xludf.DUMMYFUNCTION("""COMPUTED_VALUE"""),45809.0)</f>
        <v>45809</v>
      </c>
      <c r="K317" s="1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7" t="str">
        <f>IFERROR(__xludf.DUMMYFUNCTION("""COMPUTED_VALUE"""),"Kuczynski")</f>
        <v>Kuczynski</v>
      </c>
      <c r="B318" s="8" t="str">
        <f>IFERROR(__xludf.DUMMYFUNCTION("""COMPUTED_VALUE"""),"Johnny K")</f>
        <v>Johnny K</v>
      </c>
      <c r="C318" s="8" t="str">
        <f>IFERROR(__xludf.DUMMYFUNCTION("""COMPUTED_VALUE"""),"Zion Grove")</f>
        <v>Zion Grove</v>
      </c>
      <c r="D318" s="8" t="str">
        <f>IFERROR(__xludf.DUMMYFUNCTION("""COMPUTED_VALUE"""),"PA")</f>
        <v>PA</v>
      </c>
      <c r="E318" s="8" t="str">
        <f>IFERROR(__xludf.DUMMYFUNCTION("""COMPUTED_VALUE"""),"USA")</f>
        <v>USA</v>
      </c>
      <c r="F318" s="8" t="str">
        <f>IFERROR(__xludf.DUMMYFUNCTION("""COMPUTED_VALUE"""),"ADO 2013")</f>
        <v>ADO 2013</v>
      </c>
      <c r="G318" s="8" t="str">
        <f>IFERROR(__xludf.DUMMYFUNCTION("""COMPUTED_VALUE"""),"36th")</f>
        <v>36th</v>
      </c>
      <c r="H318" s="8" t="str">
        <f>IFERROR(__xludf.DUMMYFUNCTION("""COMPUTED_VALUE"""),"Known Ability")</f>
        <v>Known Ability</v>
      </c>
      <c r="I318" s="9">
        <f>IFERROR(__xludf.DUMMYFUNCTION("""COMPUTED_VALUE"""),41339.0)</f>
        <v>41339</v>
      </c>
      <c r="J318" s="9">
        <f>IFERROR(__xludf.DUMMYFUNCTION("""COMPUTED_VALUE"""),47635.0)</f>
        <v>47635</v>
      </c>
      <c r="K318" s="1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7" t="str">
        <f>IFERROR(__xludf.DUMMYFUNCTION("""COMPUTED_VALUE"""),"LAMBERT")</f>
        <v>LAMBERT</v>
      </c>
      <c r="B319" s="8" t="str">
        <f>IFERROR(__xludf.DUMMYFUNCTION("""COMPUTED_VALUE"""),"WILLIAM")</f>
        <v>WILLIAM</v>
      </c>
      <c r="C319" s="8" t="str">
        <f>IFERROR(__xludf.DUMMYFUNCTION("""COMPUTED_VALUE"""),"PALM CITY")</f>
        <v>PALM CITY</v>
      </c>
      <c r="D319" s="8" t="str">
        <f>IFERROR(__xludf.DUMMYFUNCTION("""COMPUTED_VALUE"""),"FL")</f>
        <v>FL</v>
      </c>
      <c r="E319" s="8" t="str">
        <f>IFERROR(__xludf.DUMMYFUNCTION("""COMPUTED_VALUE"""),"USA")</f>
        <v>USA</v>
      </c>
      <c r="F319" s="8" t="str">
        <f>IFERROR(__xludf.DUMMYFUNCTION("""COMPUTED_VALUE"""),"MENS DBLS 501")</f>
        <v>MENS DBLS 501</v>
      </c>
      <c r="G319" s="8" t="str">
        <f>IFERROR(__xludf.DUMMYFUNCTION("""COMPUTED_VALUE"""),"2ND")</f>
        <v>2ND</v>
      </c>
      <c r="H319" s="8" t="str">
        <f>IFERROR(__xludf.DUMMYFUNCTION("""COMPUTED_VALUE"""),"BS 36 REGIONAL FL")</f>
        <v>BS 36 REGIONAL FL</v>
      </c>
      <c r="I319" s="9">
        <f>IFERROR(__xludf.DUMMYFUNCTION("""COMPUTED_VALUE"""),44713.0)</f>
        <v>44713</v>
      </c>
      <c r="J319" s="9">
        <f>IFERROR(__xludf.DUMMYFUNCTION("""COMPUTED_VALUE"""),45809.0)</f>
        <v>45809</v>
      </c>
      <c r="K319" s="10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7" t="str">
        <f>IFERROR(__xludf.DUMMYFUNCTION("""COMPUTED_VALUE"""),"LAMORA")</f>
        <v>LAMORA</v>
      </c>
      <c r="B320" s="8" t="str">
        <f>IFERROR(__xludf.DUMMYFUNCTION("""COMPUTED_VALUE"""),"BRANDON")</f>
        <v>BRANDON</v>
      </c>
      <c r="C320" s="8" t="str">
        <f>IFERROR(__xludf.DUMMYFUNCTION("""COMPUTED_VALUE"""),"ZEPHYR HILLS")</f>
        <v>ZEPHYR HILLS</v>
      </c>
      <c r="D320" s="8" t="str">
        <f>IFERROR(__xludf.DUMMYFUNCTION("""COMPUTED_VALUE"""),"FL")</f>
        <v>FL</v>
      </c>
      <c r="E320" s="8" t="str">
        <f>IFERROR(__xludf.DUMMYFUNCTION("""COMPUTED_VALUE"""),"USA")</f>
        <v>USA</v>
      </c>
      <c r="F320" s="8" t="str">
        <f>IFERROR(__xludf.DUMMYFUNCTION("""COMPUTED_VALUE"""),"MEN SINGLES")</f>
        <v>MEN SINGLES</v>
      </c>
      <c r="G320" s="8" t="str">
        <f>IFERROR(__xludf.DUMMYFUNCTION("""COMPUTED_VALUE"""),"2")</f>
        <v>2</v>
      </c>
      <c r="H320" s="8" t="str">
        <f>IFERROR(__xludf.DUMMYFUNCTION("""COMPUTED_VALUE"""),"BS 37 NY")</f>
        <v>BS 37 NY</v>
      </c>
      <c r="I320" s="9">
        <f>IFERROR(__xludf.DUMMYFUNCTION("""COMPUTED_VALUE"""),45078.0)</f>
        <v>45078</v>
      </c>
      <c r="J320" s="9">
        <f>IFERROR(__xludf.DUMMYFUNCTION("""COMPUTED_VALUE"""),46174.0)</f>
        <v>46174</v>
      </c>
      <c r="K320" s="10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7" t="str">
        <f>IFERROR(__xludf.DUMMYFUNCTION("""COMPUTED_VALUE"""),"Langendorf")</f>
        <v>Langendorf</v>
      </c>
      <c r="B321" s="8" t="str">
        <f>IFERROR(__xludf.DUMMYFUNCTION("""COMPUTED_VALUE"""),"Maik")</f>
        <v>Maik</v>
      </c>
      <c r="C321" s="8"/>
      <c r="D321" s="8"/>
      <c r="E321" s="8" t="str">
        <f>IFERROR(__xludf.DUMMYFUNCTION("""COMPUTED_VALUE"""),"Germany")</f>
        <v>Germany</v>
      </c>
      <c r="F321" s="8" t="str">
        <f>IFERROR(__xludf.DUMMYFUNCTION("""COMPUTED_VALUE"""),"PDC Merit Ranking")</f>
        <v>PDC Merit Ranking</v>
      </c>
      <c r="G321" s="8" t="str">
        <f>IFERROR(__xludf.DUMMYFUNCTION("""COMPUTED_VALUE"""),"96th")</f>
        <v>96th</v>
      </c>
      <c r="H321" s="8" t="str">
        <f>IFERROR(__xludf.DUMMYFUNCTION("""COMPUTED_VALUE"""),"Known Ability")</f>
        <v>Known Ability</v>
      </c>
      <c r="I321" s="9">
        <f>IFERROR(__xludf.DUMMYFUNCTION("""COMPUTED_VALUE"""),42060.0)</f>
        <v>42060</v>
      </c>
      <c r="J321" s="9">
        <f>IFERROR(__xludf.DUMMYFUNCTION("""COMPUTED_VALUE"""),47635.0)</f>
        <v>47635</v>
      </c>
      <c r="K321" s="1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7" t="str">
        <f>IFERROR(__xludf.DUMMYFUNCTION("""COMPUTED_VALUE"""),"LANGLAIS")</f>
        <v>LANGLAIS</v>
      </c>
      <c r="B322" s="8" t="str">
        <f>IFERROR(__xludf.DUMMYFUNCTION("""COMPUTED_VALUE"""),"LORNE")</f>
        <v>LORNE</v>
      </c>
      <c r="C322" s="8" t="str">
        <f>IFERROR(__xludf.DUMMYFUNCTION("""COMPUTED_VALUE"""),"SWANTON")</f>
        <v>SWANTON</v>
      </c>
      <c r="D322" s="8" t="str">
        <f>IFERROR(__xludf.DUMMYFUNCTION("""COMPUTED_VALUE"""),"VT")</f>
        <v>VT</v>
      </c>
      <c r="E322" s="8" t="str">
        <f>IFERROR(__xludf.DUMMYFUNCTION("""COMPUTED_VALUE"""),"USA")</f>
        <v>USA</v>
      </c>
      <c r="F322" s="8" t="str">
        <f>IFERROR(__xludf.DUMMYFUNCTION("""COMPUTED_VALUE"""),"MIXED TRIPLE 701")</f>
        <v>MIXED TRIPLE 701</v>
      </c>
      <c r="G322" s="8" t="str">
        <f>IFERROR(__xludf.DUMMYFUNCTION("""COMPUTED_VALUE"""),"2ND")</f>
        <v>2ND</v>
      </c>
      <c r="H322" s="8" t="str">
        <f>IFERROR(__xludf.DUMMYFUNCTION("""COMPUTED_VALUE"""),"BULLSHOOTER 36 FINALS")</f>
        <v>BULLSHOOTER 36 FINALS</v>
      </c>
      <c r="I322" s="9">
        <f>IFERROR(__xludf.DUMMYFUNCTION("""COMPUTED_VALUE"""),44713.0)</f>
        <v>44713</v>
      </c>
      <c r="J322" s="9">
        <f>IFERROR(__xludf.DUMMYFUNCTION("""COMPUTED_VALUE"""),45809.0)</f>
        <v>45809</v>
      </c>
      <c r="K322" s="1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7" t="str">
        <f>IFERROR(__xludf.DUMMYFUNCTION("""COMPUTED_VALUE"""),"Langley")</f>
        <v>Langley</v>
      </c>
      <c r="B323" s="8" t="str">
        <f>IFERROR(__xludf.DUMMYFUNCTION("""COMPUTED_VALUE"""),"Bryan")</f>
        <v>Bryan</v>
      </c>
      <c r="C323" s="8" t="str">
        <f>IFERROR(__xludf.DUMMYFUNCTION("""COMPUTED_VALUE"""),"Knoxville")</f>
        <v>Knoxville</v>
      </c>
      <c r="D323" s="8" t="str">
        <f>IFERROR(__xludf.DUMMYFUNCTION("""COMPUTED_VALUE"""),"TN")</f>
        <v>TN</v>
      </c>
      <c r="E323" s="8" t="str">
        <f>IFERROR(__xludf.DUMMYFUNCTION("""COMPUTED_VALUE"""),"USA")</f>
        <v>USA</v>
      </c>
      <c r="F323" s="8" t="str">
        <f>IFERROR(__xludf.DUMMYFUNCTION("""COMPUTED_VALUE"""),"ADO 2021")</f>
        <v>ADO 2021</v>
      </c>
      <c r="G323" s="8"/>
      <c r="H323" s="8"/>
      <c r="I323" s="9">
        <f>IFERROR(__xludf.DUMMYFUNCTION("""COMPUTED_VALUE"""),44348.0)</f>
        <v>44348</v>
      </c>
      <c r="J323" s="9">
        <f>IFERROR(__xludf.DUMMYFUNCTION("""COMPUTED_VALUE"""),46539.0)</f>
        <v>46539</v>
      </c>
      <c r="K323" s="1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7" t="str">
        <f>IFERROR(__xludf.DUMMYFUNCTION("""COMPUTED_VALUE"""),"Lapine")</f>
        <v>Lapine</v>
      </c>
      <c r="B324" s="8" t="str">
        <f>IFERROR(__xludf.DUMMYFUNCTION("""COMPUTED_VALUE"""),"Skyler")</f>
        <v>Skyler</v>
      </c>
      <c r="C324" s="8"/>
      <c r="D324" s="8"/>
      <c r="E324" s="8"/>
      <c r="F324" s="8" t="str">
        <f>IFERROR(__xludf.DUMMYFUNCTION("""COMPUTED_VALUE"""),"TopGun Mixed")</f>
        <v>TopGun Mixed</v>
      </c>
      <c r="G324" s="8" t="str">
        <f>IFERROR(__xludf.DUMMYFUNCTION("""COMPUTED_VALUE"""),"2nd")</f>
        <v>2nd</v>
      </c>
      <c r="H324" s="8" t="str">
        <f>IFERROR(__xludf.DUMMYFUNCTION("""COMPUTED_VALUE"""),"BS 38 Finals")</f>
        <v>BS 38 Finals</v>
      </c>
      <c r="I324" s="9">
        <f>IFERROR(__xludf.DUMMYFUNCTION("""COMPUTED_VALUE"""),45444.0)</f>
        <v>45444</v>
      </c>
      <c r="J324" s="9">
        <f>IFERROR(__xludf.DUMMYFUNCTION("""COMPUTED_VALUE"""),46539.0)</f>
        <v>46539</v>
      </c>
      <c r="K324" s="1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7" t="str">
        <f>IFERROR(__xludf.DUMMYFUNCTION("""COMPUTED_VALUE"""),"LAPINE")</f>
        <v>LAPINE</v>
      </c>
      <c r="B325" s="8" t="str">
        <f>IFERROR(__xludf.DUMMYFUNCTION("""COMPUTED_VALUE"""),"MICHAEL")</f>
        <v>MICHAEL</v>
      </c>
      <c r="C325" s="8" t="str">
        <f>IFERROR(__xludf.DUMMYFUNCTION("""COMPUTED_VALUE"""),"FOND DU LAC")</f>
        <v>FOND DU LAC</v>
      </c>
      <c r="D325" s="8" t="str">
        <f>IFERROR(__xludf.DUMMYFUNCTION("""COMPUTED_VALUE"""),"WI")</f>
        <v>WI</v>
      </c>
      <c r="E325" s="8" t="str">
        <f>IFERROR(__xludf.DUMMYFUNCTION("""COMPUTED_VALUE"""),"USA")</f>
        <v>USA</v>
      </c>
      <c r="F325" s="8" t="str">
        <f>IFERROR(__xludf.DUMMYFUNCTION("""COMPUTED_VALUE"""),"TOPGUN MEN SINGLES")</f>
        <v>TOPGUN MEN SINGLES</v>
      </c>
      <c r="G325" s="8" t="str">
        <f>IFERROR(__xludf.DUMMYFUNCTION("""COMPUTED_VALUE"""),"2")</f>
        <v>2</v>
      </c>
      <c r="H325" s="8" t="str">
        <f>IFERROR(__xludf.DUMMYFUNCTION("""COMPUTED_VALUE"""),"BS 37 FINALS")</f>
        <v>BS 37 FINALS</v>
      </c>
      <c r="I325" s="9">
        <f>IFERROR(__xludf.DUMMYFUNCTION("""COMPUTED_VALUE"""),45078.0)</f>
        <v>45078</v>
      </c>
      <c r="J325" s="9">
        <f>IFERROR(__xludf.DUMMYFUNCTION("""COMPUTED_VALUE"""),46174.0)</f>
        <v>46174</v>
      </c>
      <c r="K325" s="10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7" t="str">
        <f>IFERROR(__xludf.DUMMYFUNCTION("""COMPUTED_VALUE"""),"Larscheidt")</f>
        <v>Larscheidt</v>
      </c>
      <c r="B326" s="8" t="str">
        <f>IFERROR(__xludf.DUMMYFUNCTION("""COMPUTED_VALUE"""),"Ryan")</f>
        <v>Ryan</v>
      </c>
      <c r="C326" s="8" t="str">
        <f>IFERROR(__xludf.DUMMYFUNCTION("""COMPUTED_VALUE"""),"West Allis")</f>
        <v>West Allis</v>
      </c>
      <c r="D326" s="8" t="str">
        <f>IFERROR(__xludf.DUMMYFUNCTION("""COMPUTED_VALUE"""),"WI")</f>
        <v>WI</v>
      </c>
      <c r="E326" s="8" t="str">
        <f>IFERROR(__xludf.DUMMYFUNCTION("""COMPUTED_VALUE"""),"USA")</f>
        <v>USA</v>
      </c>
      <c r="F326" s="8" t="str">
        <f>IFERROR(__xludf.DUMMYFUNCTION("""COMPUTED_VALUE"""),"Pro Cricket Doubles")</f>
        <v>Pro Cricket Doubles</v>
      </c>
      <c r="G326" s="8" t="str">
        <f>IFERROR(__xludf.DUMMYFUNCTION("""COMPUTED_VALUE"""),"3rd")</f>
        <v>3rd</v>
      </c>
      <c r="H326" s="8" t="str">
        <f>IFERROR(__xludf.DUMMYFUNCTION("""COMPUTED_VALUE"""),"BullShooter 34 Finals")</f>
        <v>BullShooter 34 Finals</v>
      </c>
      <c r="I326" s="9">
        <f>IFERROR(__xludf.DUMMYFUNCTION("""COMPUTED_VALUE"""),43617.0)</f>
        <v>43617</v>
      </c>
      <c r="J326" s="9">
        <f>IFERROR(__xludf.DUMMYFUNCTION("""COMPUTED_VALUE"""),45809.0)</f>
        <v>45809</v>
      </c>
      <c r="K326" s="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7" t="str">
        <f>IFERROR(__xludf.DUMMYFUNCTION("""COMPUTED_VALUE"""),"LASSEY JR")</f>
        <v>LASSEY JR</v>
      </c>
      <c r="B327" s="8" t="str">
        <f>IFERROR(__xludf.DUMMYFUNCTION("""COMPUTED_VALUE"""),"DONNIE")</f>
        <v>DONNIE</v>
      </c>
      <c r="C327" s="8" t="str">
        <f>IFERROR(__xludf.DUMMYFUNCTION("""COMPUTED_VALUE"""),"NEW MARKET")</f>
        <v>NEW MARKET</v>
      </c>
      <c r="D327" s="8" t="str">
        <f>IFERROR(__xludf.DUMMYFUNCTION("""COMPUTED_VALUE"""),"AL")</f>
        <v>AL</v>
      </c>
      <c r="E327" s="8" t="str">
        <f>IFERROR(__xludf.DUMMYFUNCTION("""COMPUTED_VALUE"""),"USA")</f>
        <v>USA</v>
      </c>
      <c r="F327" s="8" t="str">
        <f>IFERROR(__xludf.DUMMYFUNCTION("""COMPUTED_VALUE"""),"MENS SNG CRICKET")</f>
        <v>MENS SNG CRICKET</v>
      </c>
      <c r="G327" s="8" t="str">
        <f>IFERROR(__xludf.DUMMYFUNCTION("""COMPUTED_VALUE"""),"3RD")</f>
        <v>3RD</v>
      </c>
      <c r="H327" s="8" t="str">
        <f>IFERROR(__xludf.DUMMYFUNCTION("""COMPUTED_VALUE"""),"AZ REGIONAL BS 38")</f>
        <v>AZ REGIONAL BS 38</v>
      </c>
      <c r="I327" s="9">
        <f>IFERROR(__xludf.DUMMYFUNCTION("""COMPUTED_VALUE"""),45444.0)</f>
        <v>45444</v>
      </c>
      <c r="J327" s="9">
        <f>IFERROR(__xludf.DUMMYFUNCTION("""COMPUTED_VALUE"""),46539.0)</f>
        <v>46539</v>
      </c>
      <c r="K327" s="1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7" t="str">
        <f>IFERROR(__xludf.DUMMYFUNCTION("""COMPUTED_VALUE"""),"Lauby Sr.")</f>
        <v>Lauby Sr.</v>
      </c>
      <c r="B328" s="8" t="str">
        <f>IFERROR(__xludf.DUMMYFUNCTION("""COMPUTED_VALUE"""),"Dan")</f>
        <v>Dan</v>
      </c>
      <c r="C328" s="8" t="str">
        <f>IFERROR(__xludf.DUMMYFUNCTION("""COMPUTED_VALUE"""),"Terre Haute")</f>
        <v>Terre Haute</v>
      </c>
      <c r="D328" s="8" t="str">
        <f>IFERROR(__xludf.DUMMYFUNCTION("""COMPUTED_VALUE"""),"IN")</f>
        <v>IN</v>
      </c>
      <c r="E328" s="8" t="str">
        <f>IFERROR(__xludf.DUMMYFUNCTION("""COMPUTED_VALUE"""),"USA")</f>
        <v>USA</v>
      </c>
      <c r="F328" s="8" t="str">
        <f>IFERROR(__xludf.DUMMYFUNCTION("""COMPUTED_VALUE"""),"NAPDA 2018")</f>
        <v>NAPDA 2018</v>
      </c>
      <c r="G328" s="8" t="str">
        <f>IFERROR(__xludf.DUMMYFUNCTION("""COMPUTED_VALUE"""),"24th")</f>
        <v>24th</v>
      </c>
      <c r="H328" s="8" t="str">
        <f>IFERROR(__xludf.DUMMYFUNCTION("""COMPUTED_VALUE"""),"Known Ability")</f>
        <v>Known Ability</v>
      </c>
      <c r="I328" s="9">
        <f>IFERROR(__xludf.DUMMYFUNCTION("""COMPUTED_VALUE"""),43132.0)</f>
        <v>43132</v>
      </c>
      <c r="J328" s="9">
        <f>IFERROR(__xludf.DUMMYFUNCTION("""COMPUTED_VALUE"""),47635.0)</f>
        <v>47635</v>
      </c>
      <c r="K328" s="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7" t="str">
        <f>IFERROR(__xludf.DUMMYFUNCTION("""COMPUTED_VALUE"""),"LAVECK")</f>
        <v>LAVECK</v>
      </c>
      <c r="B329" s="8" t="str">
        <f>IFERROR(__xludf.DUMMYFUNCTION("""COMPUTED_VALUE"""),"EDWARD")</f>
        <v>EDWARD</v>
      </c>
      <c r="C329" s="8" t="str">
        <f>IFERROR(__xludf.DUMMYFUNCTION("""COMPUTED_VALUE"""),"NORTH SYRACUSE")</f>
        <v>NORTH SYRACUSE</v>
      </c>
      <c r="D329" s="8" t="str">
        <f>IFERROR(__xludf.DUMMYFUNCTION("""COMPUTED_VALUE"""),"NY")</f>
        <v>NY</v>
      </c>
      <c r="E329" s="8" t="str">
        <f>IFERROR(__xludf.DUMMYFUNCTION("""COMPUTED_VALUE"""),"USA")</f>
        <v>USA</v>
      </c>
      <c r="F329" s="8" t="str">
        <f>IFERROR(__xludf.DUMMYFUNCTION("""COMPUTED_VALUE"""),"MENS DBLS 501")</f>
        <v>MENS DBLS 501</v>
      </c>
      <c r="G329" s="8" t="str">
        <f>IFERROR(__xludf.DUMMYFUNCTION("""COMPUTED_VALUE"""),"2ND")</f>
        <v>2ND</v>
      </c>
      <c r="H329" s="8" t="str">
        <f>IFERROR(__xludf.DUMMYFUNCTION("""COMPUTED_VALUE"""),"BS 36 REGIONAL NY")</f>
        <v>BS 36 REGIONAL NY</v>
      </c>
      <c r="I329" s="9">
        <f>IFERROR(__xludf.DUMMYFUNCTION("""COMPUTED_VALUE"""),44713.0)</f>
        <v>44713</v>
      </c>
      <c r="J329" s="9">
        <f>IFERROR(__xludf.DUMMYFUNCTION("""COMPUTED_VALUE"""),45809.0)</f>
        <v>45809</v>
      </c>
      <c r="K329" s="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7" t="str">
        <f>IFERROR(__xludf.DUMMYFUNCTION("""COMPUTED_VALUE"""),"LAVIGNE")</f>
        <v>LAVIGNE</v>
      </c>
      <c r="B330" s="8" t="str">
        <f>IFERROR(__xludf.DUMMYFUNCTION("""COMPUTED_VALUE"""),"JEREMY")</f>
        <v>JEREMY</v>
      </c>
      <c r="C330" s="8" t="str">
        <f>IFERROR(__xludf.DUMMYFUNCTION("""COMPUTED_VALUE"""),"SACO")</f>
        <v>SACO</v>
      </c>
      <c r="D330" s="8" t="str">
        <f>IFERROR(__xludf.DUMMYFUNCTION("""COMPUTED_VALUE"""),"ME")</f>
        <v>ME</v>
      </c>
      <c r="E330" s="8" t="str">
        <f>IFERROR(__xludf.DUMMYFUNCTION("""COMPUTED_VALUE"""),"USA")</f>
        <v>USA</v>
      </c>
      <c r="F330" s="8" t="str">
        <f>IFERROR(__xludf.DUMMYFUNCTION("""COMPUTED_VALUE"""),"MEN 501 SINGLES")</f>
        <v>MEN 501 SINGLES</v>
      </c>
      <c r="G330" s="8" t="str">
        <f>IFERROR(__xludf.DUMMYFUNCTION("""COMPUTED_VALUE"""),"3")</f>
        <v>3</v>
      </c>
      <c r="H330" s="8" t="str">
        <f>IFERROR(__xludf.DUMMYFUNCTION("""COMPUTED_VALUE"""),"BS 37 FINALS")</f>
        <v>BS 37 FINALS</v>
      </c>
      <c r="I330" s="9">
        <f>IFERROR(__xludf.DUMMYFUNCTION("""COMPUTED_VALUE"""),45078.0)</f>
        <v>45078</v>
      </c>
      <c r="J330" s="9">
        <f>IFERROR(__xludf.DUMMYFUNCTION("""COMPUTED_VALUE"""),46174.0)</f>
        <v>46174</v>
      </c>
      <c r="K330" s="1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7" t="str">
        <f>IFERROR(__xludf.DUMMYFUNCTION("""COMPUTED_VALUE"""),"LAWRENCE")</f>
        <v>LAWRENCE</v>
      </c>
      <c r="B331" s="8" t="str">
        <f>IFERROR(__xludf.DUMMYFUNCTION("""COMPUTED_VALUE"""),"BROC")</f>
        <v>BROC</v>
      </c>
      <c r="C331" s="8" t="str">
        <f>IFERROR(__xludf.DUMMYFUNCTION("""COMPUTED_VALUE"""),"HANOVER")</f>
        <v>HANOVER</v>
      </c>
      <c r="D331" s="8" t="str">
        <f>IFERROR(__xludf.DUMMYFUNCTION("""COMPUTED_VALUE"""),"PA")</f>
        <v>PA</v>
      </c>
      <c r="E331" s="8" t="str">
        <f>IFERROR(__xludf.DUMMYFUNCTION("""COMPUTED_VALUE"""),"USA")</f>
        <v>USA</v>
      </c>
      <c r="F331" s="8" t="str">
        <f>IFERROR(__xludf.DUMMYFUNCTION("""COMPUTED_VALUE"""),"MEN SINGLES")</f>
        <v>MEN SINGLES</v>
      </c>
      <c r="G331" s="8" t="str">
        <f>IFERROR(__xludf.DUMMYFUNCTION("""COMPUTED_VALUE"""),"2")</f>
        <v>2</v>
      </c>
      <c r="H331" s="8" t="str">
        <f>IFERROR(__xludf.DUMMYFUNCTION("""COMPUTED_VALUE"""),"BS 37 PA")</f>
        <v>BS 37 PA</v>
      </c>
      <c r="I331" s="9">
        <f>IFERROR(__xludf.DUMMYFUNCTION("""COMPUTED_VALUE"""),45078.0)</f>
        <v>45078</v>
      </c>
      <c r="J331" s="9">
        <f>IFERROR(__xludf.DUMMYFUNCTION("""COMPUTED_VALUE"""),46174.0)</f>
        <v>46174</v>
      </c>
      <c r="K331" s="1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7" t="str">
        <f>IFERROR(__xludf.DUMMYFUNCTION("""COMPUTED_VALUE"""),"Lee")</f>
        <v>Lee</v>
      </c>
      <c r="B332" s="8" t="str">
        <f>IFERROR(__xludf.DUMMYFUNCTION("""COMPUTED_VALUE"""),"Randy")</f>
        <v>Randy</v>
      </c>
      <c r="C332" s="8"/>
      <c r="D332" s="8"/>
      <c r="E332" s="8"/>
      <c r="F332" s="8" t="str">
        <f>IFERROR(__xludf.DUMMYFUNCTION("""COMPUTED_VALUE"""),"TopGun Mixed")</f>
        <v>TopGun Mixed</v>
      </c>
      <c r="G332" s="8" t="str">
        <f>IFERROR(__xludf.DUMMYFUNCTION("""COMPUTED_VALUE"""),"3-4th")</f>
        <v>3-4th</v>
      </c>
      <c r="H332" s="8" t="str">
        <f>IFERROR(__xludf.DUMMYFUNCTION("""COMPUTED_VALUE"""),"BS 38 Finals")</f>
        <v>BS 38 Finals</v>
      </c>
      <c r="I332" s="9">
        <f>IFERROR(__xludf.DUMMYFUNCTION("""COMPUTED_VALUE"""),45444.0)</f>
        <v>45444</v>
      </c>
      <c r="J332" s="9">
        <f>IFERROR(__xludf.DUMMYFUNCTION("""COMPUTED_VALUE"""),46539.0)</f>
        <v>46539</v>
      </c>
      <c r="K332" s="1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7" t="str">
        <f>IFERROR(__xludf.DUMMYFUNCTION("""COMPUTED_VALUE"""),"LEE")</f>
        <v>LEE</v>
      </c>
      <c r="B333" s="8" t="str">
        <f>IFERROR(__xludf.DUMMYFUNCTION("""COMPUTED_VALUE"""),"BRANDON")</f>
        <v>BRANDON</v>
      </c>
      <c r="C333" s="8" t="str">
        <f>IFERROR(__xludf.DUMMYFUNCTION("""COMPUTED_VALUE"""),"NEW WINDSOR")</f>
        <v>NEW WINDSOR</v>
      </c>
      <c r="D333" s="8" t="str">
        <f>IFERROR(__xludf.DUMMYFUNCTION("""COMPUTED_VALUE"""),"IL")</f>
        <v>IL</v>
      </c>
      <c r="E333" s="8" t="str">
        <f>IFERROR(__xludf.DUMMYFUNCTION("""COMPUTED_VALUE"""),"USA")</f>
        <v>USA</v>
      </c>
      <c r="F333" s="8" t="str">
        <f>IFERROR(__xludf.DUMMYFUNCTION("""COMPUTED_VALUE"""),"MEN CRICKET DBLS")</f>
        <v>MEN CRICKET DBLS</v>
      </c>
      <c r="G333" s="8" t="str">
        <f>IFERROR(__xludf.DUMMYFUNCTION("""COMPUTED_VALUE"""),"3")</f>
        <v>3</v>
      </c>
      <c r="H333" s="8" t="str">
        <f>IFERROR(__xludf.DUMMYFUNCTION("""COMPUTED_VALUE"""),"BS 37 FINALS")</f>
        <v>BS 37 FINALS</v>
      </c>
      <c r="I333" s="9">
        <f>IFERROR(__xludf.DUMMYFUNCTION("""COMPUTED_VALUE"""),45078.0)</f>
        <v>45078</v>
      </c>
      <c r="J333" s="9">
        <f>IFERROR(__xludf.DUMMYFUNCTION("""COMPUTED_VALUE"""),46174.0)</f>
        <v>46174</v>
      </c>
      <c r="K333" s="1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7" t="str">
        <f>IFERROR(__xludf.DUMMYFUNCTION("""COMPUTED_VALUE"""),"LEININGER")</f>
        <v>LEININGER</v>
      </c>
      <c r="B334" s="8" t="str">
        <f>IFERROR(__xludf.DUMMYFUNCTION("""COMPUTED_VALUE"""),"BRETT")</f>
        <v>BRETT</v>
      </c>
      <c r="C334" s="8" t="str">
        <f>IFERROR(__xludf.DUMMYFUNCTION("""COMPUTED_VALUE"""),"CHEYENNE")</f>
        <v>CHEYENNE</v>
      </c>
      <c r="D334" s="8" t="str">
        <f>IFERROR(__xludf.DUMMYFUNCTION("""COMPUTED_VALUE"""),"WY")</f>
        <v>WY</v>
      </c>
      <c r="E334" s="8" t="str">
        <f>IFERROR(__xludf.DUMMYFUNCTION("""COMPUTED_VALUE"""),"USA")</f>
        <v>USA</v>
      </c>
      <c r="F334" s="8" t="str">
        <f>IFERROR(__xludf.DUMMYFUNCTION("""COMPUTED_VALUE"""),"MENS DBLS CRICKET")</f>
        <v>MENS DBLS CRICKET</v>
      </c>
      <c r="G334" s="8" t="str">
        <f>IFERROR(__xludf.DUMMYFUNCTION("""COMPUTED_VALUE"""),"3RD")</f>
        <v>3RD</v>
      </c>
      <c r="H334" s="8" t="str">
        <f>IFERROR(__xludf.DUMMYFUNCTION("""COMPUTED_VALUE"""),"BS 36 REGIONAL WY")</f>
        <v>BS 36 REGIONAL WY</v>
      </c>
      <c r="I334" s="9">
        <f>IFERROR(__xludf.DUMMYFUNCTION("""COMPUTED_VALUE"""),44713.0)</f>
        <v>44713</v>
      </c>
      <c r="J334" s="9">
        <f>IFERROR(__xludf.DUMMYFUNCTION("""COMPUTED_VALUE"""),45809.0)</f>
        <v>45809</v>
      </c>
      <c r="K334" s="1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7" t="str">
        <f>IFERROR(__xludf.DUMMYFUNCTION("""COMPUTED_VALUE"""),"LENGYEL")</f>
        <v>LENGYEL</v>
      </c>
      <c r="B335" s="8" t="str">
        <f>IFERROR(__xludf.DUMMYFUNCTION("""COMPUTED_VALUE"""),"JOHN")</f>
        <v>JOHN</v>
      </c>
      <c r="C335" s="8" t="str">
        <f>IFERROR(__xludf.DUMMYFUNCTION("""COMPUTED_VALUE"""),"MYRTLE BEACH")</f>
        <v>MYRTLE BEACH</v>
      </c>
      <c r="D335" s="8" t="str">
        <f>IFERROR(__xludf.DUMMYFUNCTION("""COMPUTED_VALUE"""),"SC")</f>
        <v>SC</v>
      </c>
      <c r="E335" s="8" t="str">
        <f>IFERROR(__xludf.DUMMYFUNCTION("""COMPUTED_VALUE"""),"USA")</f>
        <v>USA</v>
      </c>
      <c r="F335" s="8" t="str">
        <f>IFERROR(__xludf.DUMMYFUNCTION("""COMPUTED_VALUE"""),"PRO/AM CRICKET")</f>
        <v>PRO/AM CRICKET</v>
      </c>
      <c r="G335" s="8" t="str">
        <f>IFERROR(__xludf.DUMMYFUNCTION("""COMPUTED_VALUE"""),"2")</f>
        <v>2</v>
      </c>
      <c r="H335" s="8" t="str">
        <f>IFERROR(__xludf.DUMMYFUNCTION("""COMPUTED_VALUE"""),"BS 37 FL")</f>
        <v>BS 37 FL</v>
      </c>
      <c r="I335" s="9">
        <f>IFERROR(__xludf.DUMMYFUNCTION("""COMPUTED_VALUE"""),45078.0)</f>
        <v>45078</v>
      </c>
      <c r="J335" s="9">
        <f>IFERROR(__xludf.DUMMYFUNCTION("""COMPUTED_VALUE"""),46174.0)</f>
        <v>46174</v>
      </c>
      <c r="K335" s="10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7" t="str">
        <f>IFERROR(__xludf.DUMMYFUNCTION("""COMPUTED_VALUE"""),"LESTER")</f>
        <v>LESTER</v>
      </c>
      <c r="B336" s="8" t="str">
        <f>IFERROR(__xludf.DUMMYFUNCTION("""COMPUTED_VALUE"""),"DONALD")</f>
        <v>DONALD</v>
      </c>
      <c r="C336" s="8" t="str">
        <f>IFERROR(__xludf.DUMMYFUNCTION("""COMPUTED_VALUE"""),"SPRING")</f>
        <v>SPRING</v>
      </c>
      <c r="D336" s="8" t="str">
        <f>IFERROR(__xludf.DUMMYFUNCTION("""COMPUTED_VALUE"""),"TX")</f>
        <v>TX</v>
      </c>
      <c r="E336" s="8" t="str">
        <f>IFERROR(__xludf.DUMMYFUNCTION("""COMPUTED_VALUE"""),"USA")</f>
        <v>USA</v>
      </c>
      <c r="F336" s="8" t="str">
        <f>IFERROR(__xludf.DUMMYFUNCTION("""COMPUTED_VALUE"""),"MEN CRICKET DBLS")</f>
        <v>MEN CRICKET DBLS</v>
      </c>
      <c r="G336" s="8" t="str">
        <f>IFERROR(__xludf.DUMMYFUNCTION("""COMPUTED_VALUE"""),"1")</f>
        <v>1</v>
      </c>
      <c r="H336" s="8" t="str">
        <f>IFERROR(__xludf.DUMMYFUNCTION("""COMPUTED_VALUE"""),"BS 37 FL")</f>
        <v>BS 37 FL</v>
      </c>
      <c r="I336" s="9">
        <f>IFERROR(__xludf.DUMMYFUNCTION("""COMPUTED_VALUE"""),45078.0)</f>
        <v>45078</v>
      </c>
      <c r="J336" s="9">
        <f>IFERROR(__xludf.DUMMYFUNCTION("""COMPUTED_VALUE"""),46174.0)</f>
        <v>46174</v>
      </c>
      <c r="K336" s="10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7" t="str">
        <f>IFERROR(__xludf.DUMMYFUNCTION("""COMPUTED_VALUE"""),"LEWIS")</f>
        <v>LEWIS</v>
      </c>
      <c r="B337" s="8" t="str">
        <f>IFERROR(__xludf.DUMMYFUNCTION("""COMPUTED_VALUE"""),"KEVIN")</f>
        <v>KEVIN</v>
      </c>
      <c r="C337" s="8" t="str">
        <f>IFERROR(__xludf.DUMMYFUNCTION("""COMPUTED_VALUE"""),"BENBROOK")</f>
        <v>BENBROOK</v>
      </c>
      <c r="D337" s="8" t="str">
        <f>IFERROR(__xludf.DUMMYFUNCTION("""COMPUTED_VALUE"""),"TX")</f>
        <v>TX</v>
      </c>
      <c r="E337" s="8" t="str">
        <f>IFERROR(__xludf.DUMMYFUNCTION("""COMPUTED_VALUE"""),"USA")</f>
        <v>USA</v>
      </c>
      <c r="F337" s="8" t="str">
        <f>IFERROR(__xludf.DUMMYFUNCTION("""COMPUTED_VALUE"""),"MENS DBLS CRICKET")</f>
        <v>MENS DBLS CRICKET</v>
      </c>
      <c r="G337" s="8" t="str">
        <f>IFERROR(__xludf.DUMMYFUNCTION("""COMPUTED_VALUE"""),"1ST")</f>
        <v>1ST</v>
      </c>
      <c r="H337" s="8" t="str">
        <f>IFERROR(__xludf.DUMMYFUNCTION("""COMPUTED_VALUE"""),"BS 36 REGIONAL TX")</f>
        <v>BS 36 REGIONAL TX</v>
      </c>
      <c r="I337" s="9">
        <f>IFERROR(__xludf.DUMMYFUNCTION("""COMPUTED_VALUE"""),44713.0)</f>
        <v>44713</v>
      </c>
      <c r="J337" s="9">
        <f>IFERROR(__xludf.DUMMYFUNCTION("""COMPUTED_VALUE"""),45809.0)</f>
        <v>45809</v>
      </c>
      <c r="K337" s="1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7" t="str">
        <f>IFERROR(__xludf.DUMMYFUNCTION("""COMPUTED_VALUE"""),"Lim")</f>
        <v>Lim</v>
      </c>
      <c r="B338" s="8" t="str">
        <f>IFERROR(__xludf.DUMMYFUNCTION("""COMPUTED_VALUE"""),"Paul")</f>
        <v>Paul</v>
      </c>
      <c r="C338" s="8"/>
      <c r="D338" s="8" t="str">
        <f>IFERROR(__xludf.DUMMYFUNCTION("""COMPUTED_VALUE"""),"UNK")</f>
        <v>UNK</v>
      </c>
      <c r="E338" s="8" t="str">
        <f>IFERROR(__xludf.DUMMYFUNCTION("""COMPUTED_VALUE"""),"Singapore")</f>
        <v>Singapore</v>
      </c>
      <c r="F338" s="8" t="str">
        <f>IFERROR(__xludf.DUMMYFUNCTION("""COMPUTED_VALUE"""),"DL")</f>
        <v>DL</v>
      </c>
      <c r="G338" s="8" t="str">
        <f>IFERROR(__xludf.DUMMYFUNCTION("""COMPUTED_VALUE"""),"1st")</f>
        <v>1st</v>
      </c>
      <c r="H338" s="8" t="str">
        <f>IFERROR(__xludf.DUMMYFUNCTION("""COMPUTED_VALUE"""),"Known Ability")</f>
        <v>Known Ability</v>
      </c>
      <c r="I338" s="9">
        <f>IFERROR(__xludf.DUMMYFUNCTION("""COMPUTED_VALUE"""),43132.0)</f>
        <v>43132</v>
      </c>
      <c r="J338" s="9">
        <f>IFERROR(__xludf.DUMMYFUNCTION("""COMPUTED_VALUE"""),47635.0)</f>
        <v>47635</v>
      </c>
      <c r="K338" s="1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7" t="str">
        <f>IFERROR(__xludf.DUMMYFUNCTION("""COMPUTED_VALUE"""),"LONG")</f>
        <v>LONG</v>
      </c>
      <c r="B339" s="8" t="str">
        <f>IFERROR(__xludf.DUMMYFUNCTION("""COMPUTED_VALUE"""),"MARVIN")</f>
        <v>MARVIN</v>
      </c>
      <c r="C339" s="8" t="str">
        <f>IFERROR(__xludf.DUMMYFUNCTION("""COMPUTED_VALUE"""),"CLEVELAND")</f>
        <v>CLEVELAND</v>
      </c>
      <c r="D339" s="8" t="str">
        <f>IFERROR(__xludf.DUMMYFUNCTION("""COMPUTED_VALUE"""),"TX")</f>
        <v>TX</v>
      </c>
      <c r="E339" s="8" t="str">
        <f>IFERROR(__xludf.DUMMYFUNCTION("""COMPUTED_VALUE"""),"USA")</f>
        <v>USA</v>
      </c>
      <c r="F339" s="8" t="str">
        <f>IFERROR(__xludf.DUMMYFUNCTION("""COMPUTED_VALUE"""),"MEN 501 DBLS")</f>
        <v>MEN 501 DBLS</v>
      </c>
      <c r="G339" s="8" t="str">
        <f>IFERROR(__xludf.DUMMYFUNCTION("""COMPUTED_VALUE"""),"2")</f>
        <v>2</v>
      </c>
      <c r="H339" s="8" t="str">
        <f>IFERROR(__xludf.DUMMYFUNCTION("""COMPUTED_VALUE"""),"BS 37 TX")</f>
        <v>BS 37 TX</v>
      </c>
      <c r="I339" s="9">
        <f>IFERROR(__xludf.DUMMYFUNCTION("""COMPUTED_VALUE"""),45078.0)</f>
        <v>45078</v>
      </c>
      <c r="J339" s="9">
        <f>IFERROR(__xludf.DUMMYFUNCTION("""COMPUTED_VALUE"""),46174.0)</f>
        <v>46174</v>
      </c>
      <c r="K339" s="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7" t="str">
        <f>IFERROR(__xludf.DUMMYFUNCTION("""COMPUTED_VALUE"""),"LOUDIN")</f>
        <v>LOUDIN</v>
      </c>
      <c r="B340" s="8" t="str">
        <f>IFERROR(__xludf.DUMMYFUNCTION("""COMPUTED_VALUE"""),"WILLIAM")</f>
        <v>WILLIAM</v>
      </c>
      <c r="C340" s="8" t="str">
        <f>IFERROR(__xludf.DUMMYFUNCTION("""COMPUTED_VALUE"""),"KATHLEEN")</f>
        <v>KATHLEEN</v>
      </c>
      <c r="D340" s="8" t="str">
        <f>IFERROR(__xludf.DUMMYFUNCTION("""COMPUTED_VALUE"""),"GA")</f>
        <v>GA</v>
      </c>
      <c r="E340" s="8" t="str">
        <f>IFERROR(__xludf.DUMMYFUNCTION("""COMPUTED_VALUE"""),"USA")</f>
        <v>USA</v>
      </c>
      <c r="F340" s="8" t="str">
        <f>IFERROR(__xludf.DUMMYFUNCTION("""COMPUTED_VALUE"""),"MENS SINGLES CRICKET")</f>
        <v>MENS SINGLES CRICKET</v>
      </c>
      <c r="G340" s="8" t="str">
        <f>IFERROR(__xludf.DUMMYFUNCTION("""COMPUTED_VALUE"""),"2ND")</f>
        <v>2ND</v>
      </c>
      <c r="H340" s="8" t="str">
        <f>IFERROR(__xludf.DUMMYFUNCTION("""COMPUTED_VALUE"""),"BS 36 REGIONAL SC")</f>
        <v>BS 36 REGIONAL SC</v>
      </c>
      <c r="I340" s="9">
        <f>IFERROR(__xludf.DUMMYFUNCTION("""COMPUTED_VALUE"""),44713.0)</f>
        <v>44713</v>
      </c>
      <c r="J340" s="9">
        <f>IFERROR(__xludf.DUMMYFUNCTION("""COMPUTED_VALUE"""),45809.0)</f>
        <v>45809</v>
      </c>
      <c r="K340" s="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7" t="str">
        <f>IFERROR(__xludf.DUMMYFUNCTION("""COMPUTED_VALUE"""),"LOWE")</f>
        <v>LOWE</v>
      </c>
      <c r="B341" s="8" t="str">
        <f>IFERROR(__xludf.DUMMYFUNCTION("""COMPUTED_VALUE"""),"MARK")</f>
        <v>MARK</v>
      </c>
      <c r="C341" s="8" t="str">
        <f>IFERROR(__xludf.DUMMYFUNCTION("""COMPUTED_VALUE"""),"MELBOURNE")</f>
        <v>MELBOURNE</v>
      </c>
      <c r="D341" s="8" t="str">
        <f>IFERROR(__xludf.DUMMYFUNCTION("""COMPUTED_VALUE"""),"FL")</f>
        <v>FL</v>
      </c>
      <c r="E341" s="8" t="str">
        <f>IFERROR(__xludf.DUMMYFUNCTION("""COMPUTED_VALUE"""),"USA")</f>
        <v>USA</v>
      </c>
      <c r="F341" s="8" t="str">
        <f>IFERROR(__xludf.DUMMYFUNCTION("""COMPUTED_VALUE"""),"MIXED 701 TRIPLES")</f>
        <v>MIXED 701 TRIPLES</v>
      </c>
      <c r="G341" s="8" t="str">
        <f>IFERROR(__xludf.DUMMYFUNCTION("""COMPUTED_VALUE"""),"1")</f>
        <v>1</v>
      </c>
      <c r="H341" s="8" t="str">
        <f>IFERROR(__xludf.DUMMYFUNCTION("""COMPUTED_VALUE"""),"BS 37 FL")</f>
        <v>BS 37 FL</v>
      </c>
      <c r="I341" s="9">
        <f>IFERROR(__xludf.DUMMYFUNCTION("""COMPUTED_VALUE"""),45078.0)</f>
        <v>45078</v>
      </c>
      <c r="J341" s="9">
        <f>IFERROR(__xludf.DUMMYFUNCTION("""COMPUTED_VALUE"""),46174.0)</f>
        <v>46174</v>
      </c>
      <c r="K341" s="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7" t="str">
        <f>IFERROR(__xludf.DUMMYFUNCTION("""COMPUTED_VALUE"""),"LUCERO")</f>
        <v>LUCERO</v>
      </c>
      <c r="B342" s="8" t="str">
        <f>IFERROR(__xludf.DUMMYFUNCTION("""COMPUTED_VALUE"""),"JOSEPH")</f>
        <v>JOSEPH</v>
      </c>
      <c r="C342" s="8" t="str">
        <f>IFERROR(__xludf.DUMMYFUNCTION("""COMPUTED_VALUE"""),"CHEYENNE")</f>
        <v>CHEYENNE</v>
      </c>
      <c r="D342" s="8" t="str">
        <f>IFERROR(__xludf.DUMMYFUNCTION("""COMPUTED_VALUE"""),"WY")</f>
        <v>WY</v>
      </c>
      <c r="E342" s="8" t="str">
        <f>IFERROR(__xludf.DUMMYFUNCTION("""COMPUTED_VALUE"""),"USA")</f>
        <v>USA</v>
      </c>
      <c r="F342" s="8" t="str">
        <f>IFERROR(__xludf.DUMMYFUNCTION("""COMPUTED_VALUE"""),"MENS DBLS 501")</f>
        <v>MENS DBLS 501</v>
      </c>
      <c r="G342" s="8" t="str">
        <f>IFERROR(__xludf.DUMMYFUNCTION("""COMPUTED_VALUE"""),"3RD")</f>
        <v>3RD</v>
      </c>
      <c r="H342" s="8" t="str">
        <f>IFERROR(__xludf.DUMMYFUNCTION("""COMPUTED_VALUE"""),"BS 36 REGIONAL WY")</f>
        <v>BS 36 REGIONAL WY</v>
      </c>
      <c r="I342" s="9">
        <f>IFERROR(__xludf.DUMMYFUNCTION("""COMPUTED_VALUE"""),44713.0)</f>
        <v>44713</v>
      </c>
      <c r="J342" s="9">
        <f>IFERROR(__xludf.DUMMYFUNCTION("""COMPUTED_VALUE"""),45809.0)</f>
        <v>45809</v>
      </c>
      <c r="K342" s="1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7" t="str">
        <f>IFERROR(__xludf.DUMMYFUNCTION("""COMPUTED_VALUE"""),"LUDTKE")</f>
        <v>LUDTKE</v>
      </c>
      <c r="B343" s="8" t="str">
        <f>IFERROR(__xludf.DUMMYFUNCTION("""COMPUTED_VALUE"""),"ERIC")</f>
        <v>ERIC</v>
      </c>
      <c r="C343" s="8" t="str">
        <f>IFERROR(__xludf.DUMMYFUNCTION("""COMPUTED_VALUE"""),"DAVENPORT")</f>
        <v>DAVENPORT</v>
      </c>
      <c r="D343" s="8" t="str">
        <f>IFERROR(__xludf.DUMMYFUNCTION("""COMPUTED_VALUE"""),"IA")</f>
        <v>IA</v>
      </c>
      <c r="E343" s="8" t="str">
        <f>IFERROR(__xludf.DUMMYFUNCTION("""COMPUTED_VALUE"""),"USA")</f>
        <v>USA</v>
      </c>
      <c r="F343" s="8" t="str">
        <f>IFERROR(__xludf.DUMMYFUNCTION("""COMPUTED_VALUE"""),"TOP GUN TRIPS")</f>
        <v>TOP GUN TRIPS</v>
      </c>
      <c r="G343" s="8" t="str">
        <f>IFERROR(__xludf.DUMMYFUNCTION("""COMPUTED_VALUE"""),"3RD")</f>
        <v>3RD</v>
      </c>
      <c r="H343" s="8" t="str">
        <f>IFERROR(__xludf.DUMMYFUNCTION("""COMPUTED_VALUE"""),"BULLSHOOTER 36 FINALS")</f>
        <v>BULLSHOOTER 36 FINALS</v>
      </c>
      <c r="I343" s="9">
        <f>IFERROR(__xludf.DUMMYFUNCTION("""COMPUTED_VALUE"""),44713.0)</f>
        <v>44713</v>
      </c>
      <c r="J343" s="9">
        <f>IFERROR(__xludf.DUMMYFUNCTION("""COMPUTED_VALUE"""),45809.0)</f>
        <v>45809</v>
      </c>
      <c r="K343" s="10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7" t="str">
        <f>IFERROR(__xludf.DUMMYFUNCTION("""COMPUTED_VALUE"""),"Lundberg")</f>
        <v>Lundberg</v>
      </c>
      <c r="B344" s="8" t="str">
        <f>IFERROR(__xludf.DUMMYFUNCTION("""COMPUTED_VALUE"""),"Carl")</f>
        <v>Carl</v>
      </c>
      <c r="C344" s="8" t="str">
        <f>IFERROR(__xludf.DUMMYFUNCTION("""COMPUTED_VALUE"""),"St. Helens")</f>
        <v>St. Helens</v>
      </c>
      <c r="D344" s="8" t="str">
        <f>IFERROR(__xludf.DUMMYFUNCTION("""COMPUTED_VALUE"""),"WA")</f>
        <v>WA</v>
      </c>
      <c r="E344" s="8" t="str">
        <f>IFERROR(__xludf.DUMMYFUNCTION("""COMPUTED_VALUE"""),"USA")</f>
        <v>USA</v>
      </c>
      <c r="F344" s="8" t="str">
        <f>IFERROR(__xludf.DUMMYFUNCTION("""COMPUTED_VALUE"""),"Known Pro")</f>
        <v>Known Pro</v>
      </c>
      <c r="G344" s="8"/>
      <c r="H344" s="8" t="str">
        <f>IFERROR(__xludf.DUMMYFUNCTION("""COMPUTED_VALUE"""),"Known Ability")</f>
        <v>Known Ability</v>
      </c>
      <c r="I344" s="9">
        <f>IFERROR(__xludf.DUMMYFUNCTION("""COMPUTED_VALUE"""),36892.0)</f>
        <v>36892</v>
      </c>
      <c r="J344" s="9">
        <f>IFERROR(__xludf.DUMMYFUNCTION("""COMPUTED_VALUE"""),47635.0)</f>
        <v>47635</v>
      </c>
      <c r="K344" s="1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7" t="str">
        <f>IFERROR(__xludf.DUMMYFUNCTION("""COMPUTED_VALUE"""),"MADHOO")</f>
        <v>MADHOO</v>
      </c>
      <c r="B345" s="8" t="str">
        <f>IFERROR(__xludf.DUMMYFUNCTION("""COMPUTED_VALUE"""),"NORMAN")</f>
        <v>NORMAN</v>
      </c>
      <c r="C345" s="8" t="str">
        <f>IFERROR(__xludf.DUMMYFUNCTION("""COMPUTED_VALUE"""),"PEMBROKE PINES")</f>
        <v>PEMBROKE PINES</v>
      </c>
      <c r="D345" s="8" t="str">
        <f>IFERROR(__xludf.DUMMYFUNCTION("""COMPUTED_VALUE"""),"FL")</f>
        <v>FL</v>
      </c>
      <c r="E345" s="8" t="str">
        <f>IFERROR(__xludf.DUMMYFUNCTION("""COMPUTED_VALUE"""),"USA")</f>
        <v>USA</v>
      </c>
      <c r="F345" s="8" t="str">
        <f>IFERROR(__xludf.DUMMYFUNCTION("""COMPUTED_VALUE"""),"MENS DBLS 501")</f>
        <v>MENS DBLS 501</v>
      </c>
      <c r="G345" s="8" t="str">
        <f>IFERROR(__xludf.DUMMYFUNCTION("""COMPUTED_VALUE"""),"3RD")</f>
        <v>3RD</v>
      </c>
      <c r="H345" s="8" t="str">
        <f>IFERROR(__xludf.DUMMYFUNCTION("""COMPUTED_VALUE"""),"BS 36 REGIONAL FL")</f>
        <v>BS 36 REGIONAL FL</v>
      </c>
      <c r="I345" s="9">
        <f>IFERROR(__xludf.DUMMYFUNCTION("""COMPUTED_VALUE"""),44713.0)</f>
        <v>44713</v>
      </c>
      <c r="J345" s="9">
        <f>IFERROR(__xludf.DUMMYFUNCTION("""COMPUTED_VALUE"""),45809.0)</f>
        <v>45809</v>
      </c>
      <c r="K345" s="1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7" t="str">
        <f>IFERROR(__xludf.DUMMYFUNCTION("""COMPUTED_VALUE"""),"MANGRUM")</f>
        <v>MANGRUM</v>
      </c>
      <c r="B346" s="8" t="str">
        <f>IFERROR(__xludf.DUMMYFUNCTION("""COMPUTED_VALUE"""),"KEVIN")</f>
        <v>KEVIN</v>
      </c>
      <c r="C346" s="8" t="str">
        <f>IFERROR(__xludf.DUMMYFUNCTION("""COMPUTED_VALUE"""),"WADDELL")</f>
        <v>WADDELL</v>
      </c>
      <c r="D346" s="8" t="str">
        <f>IFERROR(__xludf.DUMMYFUNCTION("""COMPUTED_VALUE"""),"AZ")</f>
        <v>AZ</v>
      </c>
      <c r="E346" s="8" t="str">
        <f>IFERROR(__xludf.DUMMYFUNCTION("""COMPUTED_VALUE"""),"USA")</f>
        <v>USA</v>
      </c>
      <c r="F346" s="8" t="str">
        <f>IFERROR(__xludf.DUMMYFUNCTION("""COMPUTED_VALUE"""),"MENS DBLS 501")</f>
        <v>MENS DBLS 501</v>
      </c>
      <c r="G346" s="8" t="str">
        <f>IFERROR(__xludf.DUMMYFUNCTION("""COMPUTED_VALUE"""),"3RD")</f>
        <v>3RD</v>
      </c>
      <c r="H346" s="8" t="str">
        <f>IFERROR(__xludf.DUMMYFUNCTION("""COMPUTED_VALUE"""),"BS 36 REGIONAL AZ")</f>
        <v>BS 36 REGIONAL AZ</v>
      </c>
      <c r="I346" s="9">
        <f>IFERROR(__xludf.DUMMYFUNCTION("""COMPUTED_VALUE"""),44713.0)</f>
        <v>44713</v>
      </c>
      <c r="J346" s="9">
        <f>IFERROR(__xludf.DUMMYFUNCTION("""COMPUTED_VALUE"""),45809.0)</f>
        <v>45809</v>
      </c>
      <c r="K346" s="1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7" t="str">
        <f>IFERROR(__xludf.DUMMYFUNCTION("""COMPUTED_VALUE"""),"MANN")</f>
        <v>MANN</v>
      </c>
      <c r="B347" s="8" t="str">
        <f>IFERROR(__xludf.DUMMYFUNCTION("""COMPUTED_VALUE"""),"JOSEPH")</f>
        <v>JOSEPH</v>
      </c>
      <c r="C347" s="8" t="str">
        <f>IFERROR(__xludf.DUMMYFUNCTION("""COMPUTED_VALUE"""),"TYNDALL")</f>
        <v>TYNDALL</v>
      </c>
      <c r="D347" s="8" t="str">
        <f>IFERROR(__xludf.DUMMYFUNCTION("""COMPUTED_VALUE"""),"SD")</f>
        <v>SD</v>
      </c>
      <c r="E347" s="8" t="str">
        <f>IFERROR(__xludf.DUMMYFUNCTION("""COMPUTED_VALUE"""),"USA")</f>
        <v>USA</v>
      </c>
      <c r="F347" s="8" t="str">
        <f>IFERROR(__xludf.DUMMYFUNCTION("""COMPUTED_VALUE"""),"MEN DBLS CRICKET")</f>
        <v>MEN DBLS CRICKET</v>
      </c>
      <c r="G347" s="8" t="str">
        <f>IFERROR(__xludf.DUMMYFUNCTION("""COMPUTED_VALUE"""),"1ST")</f>
        <v>1ST</v>
      </c>
      <c r="H347" s="8" t="str">
        <f>IFERROR(__xludf.DUMMYFUNCTION("""COMPUTED_VALUE"""),"NE REGIONAL BS 38")</f>
        <v>NE REGIONAL BS 38</v>
      </c>
      <c r="I347" s="9">
        <f>IFERROR(__xludf.DUMMYFUNCTION("""COMPUTED_VALUE"""),45444.0)</f>
        <v>45444</v>
      </c>
      <c r="J347" s="9">
        <f>IFERROR(__xludf.DUMMYFUNCTION("""COMPUTED_VALUE"""),46539.0)</f>
        <v>46539</v>
      </c>
      <c r="K347" s="1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7" t="str">
        <f>IFERROR(__xludf.DUMMYFUNCTION("""COMPUTED_VALUE"""),"MARKO")</f>
        <v>MARKO</v>
      </c>
      <c r="B348" s="8" t="str">
        <f>IFERROR(__xludf.DUMMYFUNCTION("""COMPUTED_VALUE"""),"JOSEPH")</f>
        <v>JOSEPH</v>
      </c>
      <c r="C348" s="8" t="str">
        <f>IFERROR(__xludf.DUMMYFUNCTION("""COMPUTED_VALUE"""),"SYRACUSE")</f>
        <v>SYRACUSE</v>
      </c>
      <c r="D348" s="8" t="str">
        <f>IFERROR(__xludf.DUMMYFUNCTION("""COMPUTED_VALUE"""),"NY")</f>
        <v>NY</v>
      </c>
      <c r="E348" s="8" t="str">
        <f>IFERROR(__xludf.DUMMYFUNCTION("""COMPUTED_VALUE"""),"USA")</f>
        <v>USA</v>
      </c>
      <c r="F348" s="8" t="str">
        <f>IFERROR(__xludf.DUMMYFUNCTION("""COMPUTED_VALUE"""),"MENS DBLS CRICKET")</f>
        <v>MENS DBLS CRICKET</v>
      </c>
      <c r="G348" s="8" t="str">
        <f>IFERROR(__xludf.DUMMYFUNCTION("""COMPUTED_VALUE"""),"1ST")</f>
        <v>1ST</v>
      </c>
      <c r="H348" s="8" t="str">
        <f>IFERROR(__xludf.DUMMYFUNCTION("""COMPUTED_VALUE"""),"BS 36 REGIONAL NY")</f>
        <v>BS 36 REGIONAL NY</v>
      </c>
      <c r="I348" s="9">
        <f>IFERROR(__xludf.DUMMYFUNCTION("""COMPUTED_VALUE"""),44713.0)</f>
        <v>44713</v>
      </c>
      <c r="J348" s="9">
        <f>IFERROR(__xludf.DUMMYFUNCTION("""COMPUTED_VALUE"""),45809.0)</f>
        <v>45809</v>
      </c>
      <c r="K348" s="10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7" t="str">
        <f>IFERROR(__xludf.DUMMYFUNCTION("""COMPUTED_VALUE"""),"MARKS")</f>
        <v>MARKS</v>
      </c>
      <c r="B349" s="8" t="str">
        <f>IFERROR(__xludf.DUMMYFUNCTION("""COMPUTED_VALUE"""),"CODY")</f>
        <v>CODY</v>
      </c>
      <c r="C349" s="8" t="str">
        <f>IFERROR(__xludf.DUMMYFUNCTION("""COMPUTED_VALUE"""),"PAW PAW")</f>
        <v>PAW PAW</v>
      </c>
      <c r="D349" s="8" t="str">
        <f>IFERROR(__xludf.DUMMYFUNCTION("""COMPUTED_VALUE"""),"IL")</f>
        <v>IL</v>
      </c>
      <c r="E349" s="8" t="str">
        <f>IFERROR(__xludf.DUMMYFUNCTION("""COMPUTED_VALUE"""),"USA")</f>
        <v>USA</v>
      </c>
      <c r="F349" s="8" t="str">
        <f>IFERROR(__xludf.DUMMYFUNCTION("""COMPUTED_VALUE"""),"MEN'S DBLS CRICKET")</f>
        <v>MEN'S DBLS CRICKET</v>
      </c>
      <c r="G349" s="8" t="str">
        <f>IFERROR(__xludf.DUMMYFUNCTION("""COMPUTED_VALUE"""),"4TH")</f>
        <v>4TH</v>
      </c>
      <c r="H349" s="8" t="str">
        <f>IFERROR(__xludf.DUMMYFUNCTION("""COMPUTED_VALUE"""),"BULLSHOOTER 36 FINALS")</f>
        <v>BULLSHOOTER 36 FINALS</v>
      </c>
      <c r="I349" s="9">
        <f>IFERROR(__xludf.DUMMYFUNCTION("""COMPUTED_VALUE"""),44713.0)</f>
        <v>44713</v>
      </c>
      <c r="J349" s="9">
        <f>IFERROR(__xludf.DUMMYFUNCTION("""COMPUTED_VALUE"""),45809.0)</f>
        <v>45809</v>
      </c>
      <c r="K349" s="1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7" t="str">
        <f>IFERROR(__xludf.DUMMYFUNCTION("""COMPUTED_VALUE"""),"MARTINEZ")</f>
        <v>MARTINEZ</v>
      </c>
      <c r="B350" s="8" t="str">
        <f>IFERROR(__xludf.DUMMYFUNCTION("""COMPUTED_VALUE"""),"JC")</f>
        <v>JC</v>
      </c>
      <c r="C350" s="8" t="str">
        <f>IFERROR(__xludf.DUMMYFUNCTION("""COMPUTED_VALUE"""),"MESA")</f>
        <v>MESA</v>
      </c>
      <c r="D350" s="8" t="str">
        <f>IFERROR(__xludf.DUMMYFUNCTION("""COMPUTED_VALUE"""),"AZ")</f>
        <v>AZ</v>
      </c>
      <c r="E350" s="8" t="str">
        <f>IFERROR(__xludf.DUMMYFUNCTION("""COMPUTED_VALUE"""),"USA")</f>
        <v>USA</v>
      </c>
      <c r="F350" s="8" t="str">
        <f>IFERROR(__xludf.DUMMYFUNCTION("""COMPUTED_VALUE"""),"MENS DBLS 501")</f>
        <v>MENS DBLS 501</v>
      </c>
      <c r="G350" s="8" t="str">
        <f>IFERROR(__xludf.DUMMYFUNCTION("""COMPUTED_VALUE"""),"2ND")</f>
        <v>2ND</v>
      </c>
      <c r="H350" s="8" t="str">
        <f>IFERROR(__xludf.DUMMYFUNCTION("""COMPUTED_VALUE"""),"AZ REGIONAL BS 38")</f>
        <v>AZ REGIONAL BS 38</v>
      </c>
      <c r="I350" s="9">
        <f>IFERROR(__xludf.DUMMYFUNCTION("""COMPUTED_VALUE"""),45444.0)</f>
        <v>45444</v>
      </c>
      <c r="J350" s="9">
        <f>IFERROR(__xludf.DUMMYFUNCTION("""COMPUTED_VALUE"""),46539.0)</f>
        <v>46539</v>
      </c>
      <c r="K350" s="1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7" t="str">
        <f>IFERROR(__xludf.DUMMYFUNCTION("""COMPUTED_VALUE"""),"Mast")</f>
        <v>Mast</v>
      </c>
      <c r="B351" s="8" t="str">
        <f>IFERROR(__xludf.DUMMYFUNCTION("""COMPUTED_VALUE"""),"Frank")</f>
        <v>Frank</v>
      </c>
      <c r="C351" s="8" t="str">
        <f>IFERROR(__xludf.DUMMYFUNCTION("""COMPUTED_VALUE"""),"Germany")</f>
        <v>Germany</v>
      </c>
      <c r="D351" s="8" t="str">
        <f>IFERROR(__xludf.DUMMYFUNCTION("""COMPUTED_VALUE"""),"UNK")</f>
        <v>UNK</v>
      </c>
      <c r="E351" s="8" t="str">
        <f>IFERROR(__xludf.DUMMYFUNCTION("""COMPUTED_VALUE"""),"Germany")</f>
        <v>Germany</v>
      </c>
      <c r="F351" s="8" t="str">
        <f>IFERROR(__xludf.DUMMYFUNCTION("""COMPUTED_VALUE"""),"Pro Cricket Team")</f>
        <v>Pro Cricket Team</v>
      </c>
      <c r="G351" s="8" t="str">
        <f>IFERROR(__xludf.DUMMYFUNCTION("""COMPUTED_VALUE"""),"3rd")</f>
        <v>3rd</v>
      </c>
      <c r="H351" s="8" t="str">
        <f>IFERROR(__xludf.DUMMYFUNCTION("""COMPUTED_VALUE"""),"Known Ability")</f>
        <v>Known Ability</v>
      </c>
      <c r="I351" s="9">
        <f>IFERROR(__xludf.DUMMYFUNCTION("""COMPUTED_VALUE"""),36892.0)</f>
        <v>36892</v>
      </c>
      <c r="J351" s="9">
        <f>IFERROR(__xludf.DUMMYFUNCTION("""COMPUTED_VALUE"""),47635.0)</f>
        <v>47635</v>
      </c>
      <c r="K351" s="10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7" t="str">
        <f>IFERROR(__xludf.DUMMYFUNCTION("""COMPUTED_VALUE"""),"McCaw")</f>
        <v>McCaw</v>
      </c>
      <c r="B352" s="8" t="str">
        <f>IFERROR(__xludf.DUMMYFUNCTION("""COMPUTED_VALUE"""),"Brady")</f>
        <v>Brady</v>
      </c>
      <c r="C352" s="8" t="str">
        <f>IFERROR(__xludf.DUMMYFUNCTION("""COMPUTED_VALUE"""),"Eldridge")</f>
        <v>Eldridge</v>
      </c>
      <c r="D352" s="8" t="str">
        <f>IFERROR(__xludf.DUMMYFUNCTION("""COMPUTED_VALUE"""),"IA")</f>
        <v>IA</v>
      </c>
      <c r="E352" s="8" t="str">
        <f>IFERROR(__xludf.DUMMYFUNCTION("""COMPUTED_VALUE"""),"USA")</f>
        <v>USA</v>
      </c>
      <c r="F352" s="8"/>
      <c r="G352" s="8"/>
      <c r="H352" s="8" t="str">
        <f>IFERROR(__xludf.DUMMYFUNCTION("""COMPUTED_VALUE"""),"Known Ability")</f>
        <v>Known Ability</v>
      </c>
      <c r="I352" s="9">
        <f>IFERROR(__xludf.DUMMYFUNCTION("""COMPUTED_VALUE"""),41640.0)</f>
        <v>41640</v>
      </c>
      <c r="J352" s="9">
        <f>IFERROR(__xludf.DUMMYFUNCTION("""COMPUTED_VALUE"""),47635.0)</f>
        <v>47635</v>
      </c>
      <c r="K352" s="10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7" t="str">
        <f>IFERROR(__xludf.DUMMYFUNCTION("""COMPUTED_VALUE"""),"MCCONNELL")</f>
        <v>MCCONNELL</v>
      </c>
      <c r="B353" s="8" t="str">
        <f>IFERROR(__xludf.DUMMYFUNCTION("""COMPUTED_VALUE"""),"JAMES")</f>
        <v>JAMES</v>
      </c>
      <c r="C353" s="8" t="str">
        <f>IFERROR(__xludf.DUMMYFUNCTION("""COMPUTED_VALUE"""),"HASTINGS")</f>
        <v>HASTINGS</v>
      </c>
      <c r="D353" s="8" t="str">
        <f>IFERROR(__xludf.DUMMYFUNCTION("""COMPUTED_VALUE"""),"MN")</f>
        <v>MN</v>
      </c>
      <c r="E353" s="8" t="str">
        <f>IFERROR(__xludf.DUMMYFUNCTION("""COMPUTED_VALUE"""),"USA")</f>
        <v>USA</v>
      </c>
      <c r="F353" s="8" t="str">
        <f>IFERROR(__xludf.DUMMYFUNCTION("""COMPUTED_VALUE"""),"MENS DBLS 501")</f>
        <v>MENS DBLS 501</v>
      </c>
      <c r="G353" s="8" t="str">
        <f>IFERROR(__xludf.DUMMYFUNCTION("""COMPUTED_VALUE"""),"1ST")</f>
        <v>1ST</v>
      </c>
      <c r="H353" s="8" t="str">
        <f>IFERROR(__xludf.DUMMYFUNCTION("""COMPUTED_VALUE"""),"BS 36 REGIONAL NE")</f>
        <v>BS 36 REGIONAL NE</v>
      </c>
      <c r="I353" s="9">
        <f>IFERROR(__xludf.DUMMYFUNCTION("""COMPUTED_VALUE"""),44713.0)</f>
        <v>44713</v>
      </c>
      <c r="J353" s="9">
        <f>IFERROR(__xludf.DUMMYFUNCTION("""COMPUTED_VALUE"""),45809.0)</f>
        <v>45809</v>
      </c>
      <c r="K353" s="10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7" t="str">
        <f>IFERROR(__xludf.DUMMYFUNCTION("""COMPUTED_VALUE"""),"MCCOOL")</f>
        <v>MCCOOL</v>
      </c>
      <c r="B354" s="8" t="str">
        <f>IFERROR(__xludf.DUMMYFUNCTION("""COMPUTED_VALUE"""),"RALPH")</f>
        <v>RALPH</v>
      </c>
      <c r="C354" s="8" t="str">
        <f>IFERROR(__xludf.DUMMYFUNCTION("""COMPUTED_VALUE"""),"BEAN STATION")</f>
        <v>BEAN STATION</v>
      </c>
      <c r="D354" s="8" t="str">
        <f>IFERROR(__xludf.DUMMYFUNCTION("""COMPUTED_VALUE"""),"TN")</f>
        <v>TN</v>
      </c>
      <c r="E354" s="8" t="str">
        <f>IFERROR(__xludf.DUMMYFUNCTION("""COMPUTED_VALUE"""),"USA")</f>
        <v>USA</v>
      </c>
      <c r="F354" s="8" t="str">
        <f>IFERROR(__xludf.DUMMYFUNCTION("""COMPUTED_VALUE"""),"MENS PRO DBLS 501")</f>
        <v>MENS PRO DBLS 501</v>
      </c>
      <c r="G354" s="8" t="str">
        <f>IFERROR(__xludf.DUMMYFUNCTION("""COMPUTED_VALUE"""),"2ND")</f>
        <v>2ND</v>
      </c>
      <c r="H354" s="8" t="str">
        <f>IFERROR(__xludf.DUMMYFUNCTION("""COMPUTED_VALUE"""),"BS 36 REGIONAL SC")</f>
        <v>BS 36 REGIONAL SC</v>
      </c>
      <c r="I354" s="9">
        <f>IFERROR(__xludf.DUMMYFUNCTION("""COMPUTED_VALUE"""),44713.0)</f>
        <v>44713</v>
      </c>
      <c r="J354" s="9">
        <f>IFERROR(__xludf.DUMMYFUNCTION("""COMPUTED_VALUE"""),45809.0)</f>
        <v>45809</v>
      </c>
      <c r="K354" s="10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7" t="str">
        <f>IFERROR(__xludf.DUMMYFUNCTION("""COMPUTED_VALUE"""),"MCCOY")</f>
        <v>MCCOY</v>
      </c>
      <c r="B355" s="8" t="str">
        <f>IFERROR(__xludf.DUMMYFUNCTION("""COMPUTED_VALUE"""),"TIMOTHY")</f>
        <v>TIMOTHY</v>
      </c>
      <c r="C355" s="8" t="str">
        <f>IFERROR(__xludf.DUMMYFUNCTION("""COMPUTED_VALUE"""),"ST JOSEPH")</f>
        <v>ST JOSEPH</v>
      </c>
      <c r="D355" s="8" t="str">
        <f>IFERROR(__xludf.DUMMYFUNCTION("""COMPUTED_VALUE"""),"MO")</f>
        <v>MO</v>
      </c>
      <c r="E355" s="8" t="str">
        <f>IFERROR(__xludf.DUMMYFUNCTION("""COMPUTED_VALUE"""),"USA")</f>
        <v>USA</v>
      </c>
      <c r="F355" s="8" t="str">
        <f>IFERROR(__xludf.DUMMYFUNCTION("""COMPUTED_VALUE"""),"MEN CRICKET DBLS")</f>
        <v>MEN CRICKET DBLS</v>
      </c>
      <c r="G355" s="8" t="str">
        <f>IFERROR(__xludf.DUMMYFUNCTION("""COMPUTED_VALUE"""),"3")</f>
        <v>3</v>
      </c>
      <c r="H355" s="8" t="str">
        <f>IFERROR(__xludf.DUMMYFUNCTION("""COMPUTED_VALUE"""),"BS 37 NE")</f>
        <v>BS 37 NE</v>
      </c>
      <c r="I355" s="9">
        <f>IFERROR(__xludf.DUMMYFUNCTION("""COMPUTED_VALUE"""),45078.0)</f>
        <v>45078</v>
      </c>
      <c r="J355" s="9">
        <f>IFERROR(__xludf.DUMMYFUNCTION("""COMPUTED_VALUE"""),46174.0)</f>
        <v>46174</v>
      </c>
      <c r="K355" s="10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7" t="str">
        <f>IFERROR(__xludf.DUMMYFUNCTION("""COMPUTED_VALUE"""),"McHenry")</f>
        <v>McHenry</v>
      </c>
      <c r="B356" s="8" t="str">
        <f>IFERROR(__xludf.DUMMYFUNCTION("""COMPUTED_VALUE"""),"Mike")</f>
        <v>Mike</v>
      </c>
      <c r="C356" s="8"/>
      <c r="D356" s="8"/>
      <c r="E356" s="8"/>
      <c r="F356" s="8" t="str">
        <f>IFERROR(__xludf.DUMMYFUNCTION("""COMPUTED_VALUE"""),"TopGun Mixed")</f>
        <v>TopGun Mixed</v>
      </c>
      <c r="G356" s="8" t="str">
        <f>IFERROR(__xludf.DUMMYFUNCTION("""COMPUTED_VALUE"""),"2nd")</f>
        <v>2nd</v>
      </c>
      <c r="H356" s="8" t="str">
        <f>IFERROR(__xludf.DUMMYFUNCTION("""COMPUTED_VALUE"""),"BS 38 Finals")</f>
        <v>BS 38 Finals</v>
      </c>
      <c r="I356" s="9">
        <f>IFERROR(__xludf.DUMMYFUNCTION("""COMPUTED_VALUE"""),45444.0)</f>
        <v>45444</v>
      </c>
      <c r="J356" s="9">
        <f>IFERROR(__xludf.DUMMYFUNCTION("""COMPUTED_VALUE"""),46539.0)</f>
        <v>46539</v>
      </c>
      <c r="K356" s="1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7" t="str">
        <f>IFERROR(__xludf.DUMMYFUNCTION("""COMPUTED_VALUE"""),"MCKENZIE")</f>
        <v>MCKENZIE</v>
      </c>
      <c r="B357" s="8" t="str">
        <f>IFERROR(__xludf.DUMMYFUNCTION("""COMPUTED_VALUE"""),"JASON")</f>
        <v>JASON</v>
      </c>
      <c r="C357" s="8" t="str">
        <f>IFERROR(__xludf.DUMMYFUNCTION("""COMPUTED_VALUE"""),"TONAWANDA")</f>
        <v>TONAWANDA</v>
      </c>
      <c r="D357" s="8" t="str">
        <f>IFERROR(__xludf.DUMMYFUNCTION("""COMPUTED_VALUE"""),"NY")</f>
        <v>NY</v>
      </c>
      <c r="E357" s="8" t="str">
        <f>IFERROR(__xludf.DUMMYFUNCTION("""COMPUTED_VALUE"""),"USA")</f>
        <v>USA</v>
      </c>
      <c r="F357" s="8" t="str">
        <f>IFERROR(__xludf.DUMMYFUNCTION("""COMPUTED_VALUE"""),"MENS PRO DBLS 501")</f>
        <v>MENS PRO DBLS 501</v>
      </c>
      <c r="G357" s="8" t="str">
        <f>IFERROR(__xludf.DUMMYFUNCTION("""COMPUTED_VALUE"""),"2ND")</f>
        <v>2ND</v>
      </c>
      <c r="H357" s="8" t="str">
        <f>IFERROR(__xludf.DUMMYFUNCTION("""COMPUTED_VALUE"""),"BS 36 REGIONAL NY")</f>
        <v>BS 36 REGIONAL NY</v>
      </c>
      <c r="I357" s="9">
        <f>IFERROR(__xludf.DUMMYFUNCTION("""COMPUTED_VALUE"""),44713.0)</f>
        <v>44713</v>
      </c>
      <c r="J357" s="9">
        <f>IFERROR(__xludf.DUMMYFUNCTION("""COMPUTED_VALUE"""),45809.0)</f>
        <v>45809</v>
      </c>
      <c r="K357" s="1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7" t="str">
        <f>IFERROR(__xludf.DUMMYFUNCTION("""COMPUTED_VALUE"""),"MCKIMMY")</f>
        <v>MCKIMMY</v>
      </c>
      <c r="B358" s="8" t="str">
        <f>IFERROR(__xludf.DUMMYFUNCTION("""COMPUTED_VALUE"""),"MICHAEL")</f>
        <v>MICHAEL</v>
      </c>
      <c r="C358" s="8" t="str">
        <f>IFERROR(__xludf.DUMMYFUNCTION("""COMPUTED_VALUE"""),"MORGANTOWN")</f>
        <v>MORGANTOWN</v>
      </c>
      <c r="D358" s="8" t="str">
        <f>IFERROR(__xludf.DUMMYFUNCTION("""COMPUTED_VALUE"""),"IN")</f>
        <v>IN</v>
      </c>
      <c r="E358" s="8" t="str">
        <f>IFERROR(__xludf.DUMMYFUNCTION("""COMPUTED_VALUE"""),"USA")</f>
        <v>USA</v>
      </c>
      <c r="F358" s="8" t="str">
        <f>IFERROR(__xludf.DUMMYFUNCTION("""COMPUTED_VALUE"""),"MEN 501 DBLS")</f>
        <v>MEN 501 DBLS</v>
      </c>
      <c r="G358" s="8" t="str">
        <f>IFERROR(__xludf.DUMMYFUNCTION("""COMPUTED_VALUE"""),"3")</f>
        <v>3</v>
      </c>
      <c r="H358" s="8" t="str">
        <f>IFERROR(__xludf.DUMMYFUNCTION("""COMPUTED_VALUE"""),"BS 37 IN")</f>
        <v>BS 37 IN</v>
      </c>
      <c r="I358" s="9">
        <f>IFERROR(__xludf.DUMMYFUNCTION("""COMPUTED_VALUE"""),45078.0)</f>
        <v>45078</v>
      </c>
      <c r="J358" s="9">
        <f>IFERROR(__xludf.DUMMYFUNCTION("""COMPUTED_VALUE"""),46174.0)</f>
        <v>46174</v>
      </c>
      <c r="K358" s="1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7" t="str">
        <f>IFERROR(__xludf.DUMMYFUNCTION("""COMPUTED_VALUE"""),"MCKINNY")</f>
        <v>MCKINNY</v>
      </c>
      <c r="B359" s="8" t="str">
        <f>IFERROR(__xludf.DUMMYFUNCTION("""COMPUTED_VALUE"""),"JOHN")</f>
        <v>JOHN</v>
      </c>
      <c r="C359" s="8" t="str">
        <f>IFERROR(__xludf.DUMMYFUNCTION("""COMPUTED_VALUE"""),"BRILLIANT")</f>
        <v>BRILLIANT</v>
      </c>
      <c r="D359" s="8" t="str">
        <f>IFERROR(__xludf.DUMMYFUNCTION("""COMPUTED_VALUE"""),"OH")</f>
        <v>OH</v>
      </c>
      <c r="E359" s="8" t="str">
        <f>IFERROR(__xludf.DUMMYFUNCTION("""COMPUTED_VALUE"""),"USA")</f>
        <v>USA</v>
      </c>
      <c r="F359" s="8" t="str">
        <f>IFERROR(__xludf.DUMMYFUNCTION("""COMPUTED_VALUE"""),"MEN CRICKET DBLS")</f>
        <v>MEN CRICKET DBLS</v>
      </c>
      <c r="G359" s="8" t="str">
        <f>IFERROR(__xludf.DUMMYFUNCTION("""COMPUTED_VALUE"""),"3")</f>
        <v>3</v>
      </c>
      <c r="H359" s="8" t="str">
        <f>IFERROR(__xludf.DUMMYFUNCTION("""COMPUTED_VALUE"""),"BS 37 PA")</f>
        <v>BS 37 PA</v>
      </c>
      <c r="I359" s="9">
        <f>IFERROR(__xludf.DUMMYFUNCTION("""COMPUTED_VALUE"""),45078.0)</f>
        <v>45078</v>
      </c>
      <c r="J359" s="9">
        <f>IFERROR(__xludf.DUMMYFUNCTION("""COMPUTED_VALUE"""),46174.0)</f>
        <v>46174</v>
      </c>
      <c r="K359" s="1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7" t="str">
        <f>IFERROR(__xludf.DUMMYFUNCTION("""COMPUTED_VALUE"""),"MCLAUGHLIN")</f>
        <v>MCLAUGHLIN</v>
      </c>
      <c r="B360" s="8" t="str">
        <f>IFERROR(__xludf.DUMMYFUNCTION("""COMPUTED_VALUE"""),"MARK")</f>
        <v>MARK</v>
      </c>
      <c r="C360" s="8" t="str">
        <f>IFERROR(__xludf.DUMMYFUNCTION("""COMPUTED_VALUE"""),"FLEMING ISLAND")</f>
        <v>FLEMING ISLAND</v>
      </c>
      <c r="D360" s="8" t="str">
        <f>IFERROR(__xludf.DUMMYFUNCTION("""COMPUTED_VALUE"""),"FL")</f>
        <v>FL</v>
      </c>
      <c r="E360" s="8" t="str">
        <f>IFERROR(__xludf.DUMMYFUNCTION("""COMPUTED_VALUE"""),"USA")</f>
        <v>USA</v>
      </c>
      <c r="F360" s="8" t="str">
        <f>IFERROR(__xludf.DUMMYFUNCTION("""COMPUTED_VALUE"""),"PRO 501 DBLS")</f>
        <v>PRO 501 DBLS</v>
      </c>
      <c r="G360" s="8" t="str">
        <f>IFERROR(__xludf.DUMMYFUNCTION("""COMPUTED_VALUE"""),"2")</f>
        <v>2</v>
      </c>
      <c r="H360" s="8" t="str">
        <f>IFERROR(__xludf.DUMMYFUNCTION("""COMPUTED_VALUE"""),"BS 37 SC")</f>
        <v>BS 37 SC</v>
      </c>
      <c r="I360" s="9">
        <f>IFERROR(__xludf.DUMMYFUNCTION("""COMPUTED_VALUE"""),45078.0)</f>
        <v>45078</v>
      </c>
      <c r="J360" s="9">
        <f>IFERROR(__xludf.DUMMYFUNCTION("""COMPUTED_VALUE"""),46174.0)</f>
        <v>46174</v>
      </c>
      <c r="K360" s="1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7" t="str">
        <f>IFERROR(__xludf.DUMMYFUNCTION("""COMPUTED_VALUE"""),"MCLEAN")</f>
        <v>MCLEAN</v>
      </c>
      <c r="B361" s="8" t="str">
        <f>IFERROR(__xludf.DUMMYFUNCTION("""COMPUTED_VALUE"""),"ANTHONY")</f>
        <v>ANTHONY</v>
      </c>
      <c r="C361" s="8" t="str">
        <f>IFERROR(__xludf.DUMMYFUNCTION("""COMPUTED_VALUE"""),"DENVER")</f>
        <v>DENVER</v>
      </c>
      <c r="D361" s="8" t="str">
        <f>IFERROR(__xludf.DUMMYFUNCTION("""COMPUTED_VALUE"""),"CO")</f>
        <v>CO</v>
      </c>
      <c r="E361" s="8" t="str">
        <f>IFERROR(__xludf.DUMMYFUNCTION("""COMPUTED_VALUE"""),"USA")</f>
        <v>USA</v>
      </c>
      <c r="F361" s="8" t="str">
        <f>IFERROR(__xludf.DUMMYFUNCTION("""COMPUTED_VALUE"""),"MENS PRO DBLS 501")</f>
        <v>MENS PRO DBLS 501</v>
      </c>
      <c r="G361" s="8" t="str">
        <f>IFERROR(__xludf.DUMMYFUNCTION("""COMPUTED_VALUE"""),"3RD")</f>
        <v>3RD</v>
      </c>
      <c r="H361" s="8" t="str">
        <f>IFERROR(__xludf.DUMMYFUNCTION("""COMPUTED_VALUE"""),"BS 36 REGIONAL WY")</f>
        <v>BS 36 REGIONAL WY</v>
      </c>
      <c r="I361" s="9">
        <f>IFERROR(__xludf.DUMMYFUNCTION("""COMPUTED_VALUE"""),44713.0)</f>
        <v>44713</v>
      </c>
      <c r="J361" s="9">
        <f>IFERROR(__xludf.DUMMYFUNCTION("""COMPUTED_VALUE"""),45809.0)</f>
        <v>45809</v>
      </c>
      <c r="K361" s="1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7" t="str">
        <f>IFERROR(__xludf.DUMMYFUNCTION("""COMPUTED_VALUE"""),"MEARES")</f>
        <v>MEARES</v>
      </c>
      <c r="B362" s="8" t="str">
        <f>IFERROR(__xludf.DUMMYFUNCTION("""COMPUTED_VALUE"""),"MARK")</f>
        <v>MARK</v>
      </c>
      <c r="C362" s="8" t="str">
        <f>IFERROR(__xludf.DUMMYFUNCTION("""COMPUTED_VALUE"""),"SARASOTA")</f>
        <v>SARASOTA</v>
      </c>
      <c r="D362" s="8" t="str">
        <f>IFERROR(__xludf.DUMMYFUNCTION("""COMPUTED_VALUE"""),"FL")</f>
        <v>FL</v>
      </c>
      <c r="E362" s="8" t="str">
        <f>IFERROR(__xludf.DUMMYFUNCTION("""COMPUTED_VALUE"""),"USA")</f>
        <v>USA</v>
      </c>
      <c r="F362" s="8" t="str">
        <f>IFERROR(__xludf.DUMMYFUNCTION("""COMPUTED_VALUE"""),"MIXED TRIPLES 701")</f>
        <v>MIXED TRIPLES 701</v>
      </c>
      <c r="G362" s="8" t="str">
        <f>IFERROR(__xludf.DUMMYFUNCTION("""COMPUTED_VALUE"""),"1ST")</f>
        <v>1ST</v>
      </c>
      <c r="H362" s="8" t="str">
        <f>IFERROR(__xludf.DUMMYFUNCTION("""COMPUTED_VALUE"""),"BS 36 REGIONAL PA")</f>
        <v>BS 36 REGIONAL PA</v>
      </c>
      <c r="I362" s="9">
        <f>IFERROR(__xludf.DUMMYFUNCTION("""COMPUTED_VALUE"""),44713.0)</f>
        <v>44713</v>
      </c>
      <c r="J362" s="9">
        <f>IFERROR(__xludf.DUMMYFUNCTION("""COMPUTED_VALUE"""),45809.0)</f>
        <v>45809</v>
      </c>
      <c r="K362" s="10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7" t="str">
        <f>IFERROR(__xludf.DUMMYFUNCTION("""COMPUTED_VALUE"""),"Mecum")</f>
        <v>Mecum</v>
      </c>
      <c r="B363" s="8" t="str">
        <f>IFERROR(__xludf.DUMMYFUNCTION("""COMPUTED_VALUE"""),"Mike")</f>
        <v>Mike</v>
      </c>
      <c r="C363" s="8" t="str">
        <f>IFERROR(__xludf.DUMMYFUNCTION("""COMPUTED_VALUE"""),"Seattle")</f>
        <v>Seattle</v>
      </c>
      <c r="D363" s="8" t="str">
        <f>IFERROR(__xludf.DUMMYFUNCTION("""COMPUTED_VALUE"""),"WA")</f>
        <v>WA</v>
      </c>
      <c r="E363" s="8" t="str">
        <f>IFERROR(__xludf.DUMMYFUNCTION("""COMPUTED_VALUE"""),"USA")</f>
        <v>USA</v>
      </c>
      <c r="F363" s="8" t="str">
        <f>IFERROR(__xludf.DUMMYFUNCTION("""COMPUTED_VALUE"""),"Known Pro")</f>
        <v>Known Pro</v>
      </c>
      <c r="G363" s="8"/>
      <c r="H363" s="8" t="str">
        <f>IFERROR(__xludf.DUMMYFUNCTION("""COMPUTED_VALUE"""),"Known Ability")</f>
        <v>Known Ability</v>
      </c>
      <c r="I363" s="9">
        <f>IFERROR(__xludf.DUMMYFUNCTION("""COMPUTED_VALUE"""),36892.0)</f>
        <v>36892</v>
      </c>
      <c r="J363" s="9">
        <f>IFERROR(__xludf.DUMMYFUNCTION("""COMPUTED_VALUE"""),47635.0)</f>
        <v>47635</v>
      </c>
      <c r="K363" s="10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7" t="str">
        <f>IFERROR(__xludf.DUMMYFUNCTION("""COMPUTED_VALUE"""),"MERROW")</f>
        <v>MERROW</v>
      </c>
      <c r="B364" s="8" t="str">
        <f>IFERROR(__xludf.DUMMYFUNCTION("""COMPUTED_VALUE"""),"SETH W.")</f>
        <v>SETH W.</v>
      </c>
      <c r="C364" s="8" t="str">
        <f>IFERROR(__xludf.DUMMYFUNCTION("""COMPUTED_VALUE"""),"GAINESVILLE")</f>
        <v>GAINESVILLE</v>
      </c>
      <c r="D364" s="8" t="str">
        <f>IFERROR(__xludf.DUMMYFUNCTION("""COMPUTED_VALUE"""),"FL")</f>
        <v>FL</v>
      </c>
      <c r="E364" s="8" t="str">
        <f>IFERROR(__xludf.DUMMYFUNCTION("""COMPUTED_VALUE"""),"USA")</f>
        <v>USA</v>
      </c>
      <c r="F364" s="8" t="str">
        <f>IFERROR(__xludf.DUMMYFUNCTION("""COMPUTED_VALUE"""),"MENS PRO DBLS 501")</f>
        <v>MENS PRO DBLS 501</v>
      </c>
      <c r="G364" s="8" t="str">
        <f>IFERROR(__xludf.DUMMYFUNCTION("""COMPUTED_VALUE"""),"3RD")</f>
        <v>3RD</v>
      </c>
      <c r="H364" s="8" t="str">
        <f>IFERROR(__xludf.DUMMYFUNCTION("""COMPUTED_VALUE"""),"BS 36 REGIONAL FL")</f>
        <v>BS 36 REGIONAL FL</v>
      </c>
      <c r="I364" s="9">
        <f>IFERROR(__xludf.DUMMYFUNCTION("""COMPUTED_VALUE"""),44713.0)</f>
        <v>44713</v>
      </c>
      <c r="J364" s="9">
        <f>IFERROR(__xludf.DUMMYFUNCTION("""COMPUTED_VALUE"""),45809.0)</f>
        <v>45809</v>
      </c>
      <c r="K364" s="10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7" t="str">
        <f>IFERROR(__xludf.DUMMYFUNCTION("""COMPUTED_VALUE"""),"MERROW")</f>
        <v>MERROW</v>
      </c>
      <c r="B365" s="8" t="str">
        <f>IFERROR(__xludf.DUMMYFUNCTION("""COMPUTED_VALUE"""),"SETH")</f>
        <v>SETH</v>
      </c>
      <c r="C365" s="8" t="str">
        <f>IFERROR(__xludf.DUMMYFUNCTION("""COMPUTED_VALUE"""),"GAINESVILLE")</f>
        <v>GAINESVILLE</v>
      </c>
      <c r="D365" s="8" t="str">
        <f>IFERROR(__xludf.DUMMYFUNCTION("""COMPUTED_VALUE"""),"FL")</f>
        <v>FL</v>
      </c>
      <c r="E365" s="8" t="str">
        <f>IFERROR(__xludf.DUMMYFUNCTION("""COMPUTED_VALUE"""),"USA")</f>
        <v>USA</v>
      </c>
      <c r="F365" s="8" t="str">
        <f>IFERROR(__xludf.DUMMYFUNCTION("""COMPUTED_VALUE"""),"MENS PRO SINGLES CRICKET")</f>
        <v>MENS PRO SINGLES CRICKET</v>
      </c>
      <c r="G365" s="8" t="str">
        <f>IFERROR(__xludf.DUMMYFUNCTION("""COMPUTED_VALUE"""),"1ST")</f>
        <v>1ST</v>
      </c>
      <c r="H365" s="8" t="str">
        <f>IFERROR(__xludf.DUMMYFUNCTION("""COMPUTED_VALUE"""),"BS 36 REGIONAL FL")</f>
        <v>BS 36 REGIONAL FL</v>
      </c>
      <c r="I365" s="9">
        <f>IFERROR(__xludf.DUMMYFUNCTION("""COMPUTED_VALUE"""),44713.0)</f>
        <v>44713</v>
      </c>
      <c r="J365" s="9">
        <f>IFERROR(__xludf.DUMMYFUNCTION("""COMPUTED_VALUE"""),45809.0)</f>
        <v>45809</v>
      </c>
      <c r="K365" s="10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7" t="str">
        <f>IFERROR(__xludf.DUMMYFUNCTION("""COMPUTED_VALUE"""),"Mestdagh")</f>
        <v>Mestdagh</v>
      </c>
      <c r="B366" s="8" t="str">
        <f>IFERROR(__xludf.DUMMYFUNCTION("""COMPUTED_VALUE"""),"Didier")</f>
        <v>Didier</v>
      </c>
      <c r="C366" s="8"/>
      <c r="D366" s="8" t="str">
        <f>IFERROR(__xludf.DUMMYFUNCTION("""COMPUTED_VALUE"""),"UNK")</f>
        <v>UNK</v>
      </c>
      <c r="E366" s="8" t="str">
        <f>IFERROR(__xludf.DUMMYFUNCTION("""COMPUTED_VALUE"""),"Belgium")</f>
        <v>Belgium</v>
      </c>
      <c r="F366" s="8" t="str">
        <f>IFERROR(__xludf.DUMMYFUNCTION("""COMPUTED_VALUE"""),"Known Pro")</f>
        <v>Known Pro</v>
      </c>
      <c r="G366" s="8"/>
      <c r="H366" s="8" t="str">
        <f>IFERROR(__xludf.DUMMYFUNCTION("""COMPUTED_VALUE"""),"Known Ability")</f>
        <v>Known Ability</v>
      </c>
      <c r="I366" s="9">
        <f>IFERROR(__xludf.DUMMYFUNCTION("""COMPUTED_VALUE"""),36892.0)</f>
        <v>36892</v>
      </c>
      <c r="J366" s="9">
        <f>IFERROR(__xludf.DUMMYFUNCTION("""COMPUTED_VALUE"""),47635.0)</f>
        <v>47635</v>
      </c>
      <c r="K366" s="1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7" t="str">
        <f>IFERROR(__xludf.DUMMYFUNCTION("""COMPUTED_VALUE"""),"MICHAEL")</f>
        <v>MICHAEL</v>
      </c>
      <c r="B367" s="8" t="str">
        <f>IFERROR(__xludf.DUMMYFUNCTION("""COMPUTED_VALUE"""),"PAUL")</f>
        <v>PAUL</v>
      </c>
      <c r="C367" s="8" t="str">
        <f>IFERROR(__xludf.DUMMYFUNCTION("""COMPUTED_VALUE"""),"MONROE")</f>
        <v>MONROE</v>
      </c>
      <c r="D367" s="8" t="str">
        <f>IFERROR(__xludf.DUMMYFUNCTION("""COMPUTED_VALUE"""),"WI")</f>
        <v>WI</v>
      </c>
      <c r="E367" s="8" t="str">
        <f>IFERROR(__xludf.DUMMYFUNCTION("""COMPUTED_VALUE"""),"USA")</f>
        <v>USA</v>
      </c>
      <c r="F367" s="8" t="str">
        <f>IFERROR(__xludf.DUMMYFUNCTION("""COMPUTED_VALUE"""),"MEN CRICKET DBLS")</f>
        <v>MEN CRICKET DBLS</v>
      </c>
      <c r="G367" s="8" t="str">
        <f>IFERROR(__xludf.DUMMYFUNCTION("""COMPUTED_VALUE"""),"4")</f>
        <v>4</v>
      </c>
      <c r="H367" s="8" t="str">
        <f>IFERROR(__xludf.DUMMYFUNCTION("""COMPUTED_VALUE"""),"BS 37 FINALS")</f>
        <v>BS 37 FINALS</v>
      </c>
      <c r="I367" s="9">
        <f>IFERROR(__xludf.DUMMYFUNCTION("""COMPUTED_VALUE"""),45078.0)</f>
        <v>45078</v>
      </c>
      <c r="J367" s="9">
        <f>IFERROR(__xludf.DUMMYFUNCTION("""COMPUTED_VALUE"""),46174.0)</f>
        <v>46174</v>
      </c>
      <c r="K367" s="1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7" t="str">
        <f>IFERROR(__xludf.DUMMYFUNCTION("""COMPUTED_VALUE"""),"Miller")</f>
        <v>Miller</v>
      </c>
      <c r="B368" s="8" t="str">
        <f>IFERROR(__xludf.DUMMYFUNCTION("""COMPUTED_VALUE"""),"Jeremy")</f>
        <v>Jeremy</v>
      </c>
      <c r="C368" s="8"/>
      <c r="D368" s="8"/>
      <c r="E368" s="8"/>
      <c r="F368" s="8" t="str">
        <f>IFERROR(__xludf.DUMMYFUNCTION("""COMPUTED_VALUE"""),"Men Cricket Dbls")</f>
        <v>Men Cricket Dbls</v>
      </c>
      <c r="G368" s="8" t="str">
        <f>IFERROR(__xludf.DUMMYFUNCTION("""COMPUTED_VALUE"""),"4th")</f>
        <v>4th</v>
      </c>
      <c r="H368" s="8" t="str">
        <f>IFERROR(__xludf.DUMMYFUNCTION("""COMPUTED_VALUE"""),"BS 38 Finals")</f>
        <v>BS 38 Finals</v>
      </c>
      <c r="I368" s="9">
        <f>IFERROR(__xludf.DUMMYFUNCTION("""COMPUTED_VALUE"""),45444.0)</f>
        <v>45444</v>
      </c>
      <c r="J368" s="9">
        <f>IFERROR(__xludf.DUMMYFUNCTION("""COMPUTED_VALUE"""),46539.0)</f>
        <v>46539</v>
      </c>
      <c r="K368" s="1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7" t="str">
        <f>IFERROR(__xludf.DUMMYFUNCTION("""COMPUTED_VALUE"""),"MINOR")</f>
        <v>MINOR</v>
      </c>
      <c r="B369" s="8" t="str">
        <f>IFERROR(__xludf.DUMMYFUNCTION("""COMPUTED_VALUE"""),"HOWARD")</f>
        <v>HOWARD</v>
      </c>
      <c r="C369" s="8" t="str">
        <f>IFERROR(__xludf.DUMMYFUNCTION("""COMPUTED_VALUE"""),"MEADVILLE")</f>
        <v>MEADVILLE</v>
      </c>
      <c r="D369" s="8" t="str">
        <f>IFERROR(__xludf.DUMMYFUNCTION("""COMPUTED_VALUE"""),"PA")</f>
        <v>PA</v>
      </c>
      <c r="E369" s="8" t="str">
        <f>IFERROR(__xludf.DUMMYFUNCTION("""COMPUTED_VALUE"""),"USA")</f>
        <v>USA</v>
      </c>
      <c r="F369" s="8" t="str">
        <f>IFERROR(__xludf.DUMMYFUNCTION("""COMPUTED_VALUE"""),"MENS PRO SINGLES CRICKET")</f>
        <v>MENS PRO SINGLES CRICKET</v>
      </c>
      <c r="G369" s="8" t="str">
        <f>IFERROR(__xludf.DUMMYFUNCTION("""COMPUTED_VALUE"""),"2ND")</f>
        <v>2ND</v>
      </c>
      <c r="H369" s="8" t="str">
        <f>IFERROR(__xludf.DUMMYFUNCTION("""COMPUTED_VALUE"""),"BS 36 REGIONAL PA")</f>
        <v>BS 36 REGIONAL PA</v>
      </c>
      <c r="I369" s="9">
        <f>IFERROR(__xludf.DUMMYFUNCTION("""COMPUTED_VALUE"""),44713.0)</f>
        <v>44713</v>
      </c>
      <c r="J369" s="9">
        <f>IFERROR(__xludf.DUMMYFUNCTION("""COMPUTED_VALUE"""),45809.0)</f>
        <v>45809</v>
      </c>
      <c r="K369" s="1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7" t="str">
        <f>IFERROR(__xludf.DUMMYFUNCTION("""COMPUTED_VALUE"""),"MITCHELL")</f>
        <v>MITCHELL</v>
      </c>
      <c r="B370" s="8" t="str">
        <f>IFERROR(__xludf.DUMMYFUNCTION("""COMPUTED_VALUE"""),"JAYME")</f>
        <v>JAYME</v>
      </c>
      <c r="C370" s="8" t="str">
        <f>IFERROR(__xludf.DUMMYFUNCTION("""COMPUTED_VALUE"""),"PUYALLUP")</f>
        <v>PUYALLUP</v>
      </c>
      <c r="D370" s="8" t="str">
        <f>IFERROR(__xludf.DUMMYFUNCTION("""COMPUTED_VALUE"""),"WA")</f>
        <v>WA</v>
      </c>
      <c r="E370" s="8" t="str">
        <f>IFERROR(__xludf.DUMMYFUNCTION("""COMPUTED_VALUE"""),"USA")</f>
        <v>USA</v>
      </c>
      <c r="F370" s="8" t="str">
        <f>IFERROR(__xludf.DUMMYFUNCTION("""COMPUTED_VALUE"""),"MEN DBLS 501")</f>
        <v>MEN DBLS 501</v>
      </c>
      <c r="G370" s="8" t="str">
        <f>IFERROR(__xludf.DUMMYFUNCTION("""COMPUTED_VALUE"""),"3RD")</f>
        <v>3RD</v>
      </c>
      <c r="H370" s="8" t="str">
        <f>IFERROR(__xludf.DUMMYFUNCTION("""COMPUTED_VALUE"""),"WA REGIONAL BS 38")</f>
        <v>WA REGIONAL BS 38</v>
      </c>
      <c r="I370" s="9">
        <f>IFERROR(__xludf.DUMMYFUNCTION("""COMPUTED_VALUE"""),45444.0)</f>
        <v>45444</v>
      </c>
      <c r="J370" s="9">
        <f>IFERROR(__xludf.DUMMYFUNCTION("""COMPUTED_VALUE"""),46539.0)</f>
        <v>46539</v>
      </c>
      <c r="K370" s="1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7" t="str">
        <f>IFERROR(__xludf.DUMMYFUNCTION("""COMPUTED_VALUE"""),"MITCHUM")</f>
        <v>MITCHUM</v>
      </c>
      <c r="B371" s="8" t="str">
        <f>IFERROR(__xludf.DUMMYFUNCTION("""COMPUTED_VALUE"""),"NORMAN")</f>
        <v>NORMAN</v>
      </c>
      <c r="C371" s="8" t="str">
        <f>IFERROR(__xludf.DUMMYFUNCTION("""COMPUTED_VALUE"""),"BENTON")</f>
        <v>BENTON</v>
      </c>
      <c r="D371" s="8" t="str">
        <f>IFERROR(__xludf.DUMMYFUNCTION("""COMPUTED_VALUE"""),"KY")</f>
        <v>KY</v>
      </c>
      <c r="E371" s="8" t="str">
        <f>IFERROR(__xludf.DUMMYFUNCTION("""COMPUTED_VALUE"""),"USA")</f>
        <v>USA</v>
      </c>
      <c r="F371" s="8" t="str">
        <f>IFERROR(__xludf.DUMMYFUNCTION("""COMPUTED_VALUE"""),"MEN CRICKET DBLS")</f>
        <v>MEN CRICKET DBLS</v>
      </c>
      <c r="G371" s="8" t="str">
        <f>IFERROR(__xludf.DUMMYFUNCTION("""COMPUTED_VALUE"""),"3")</f>
        <v>3</v>
      </c>
      <c r="H371" s="8" t="str">
        <f>IFERROR(__xludf.DUMMYFUNCTION("""COMPUTED_VALUE"""),"BS 37 SC")</f>
        <v>BS 37 SC</v>
      </c>
      <c r="I371" s="9">
        <f>IFERROR(__xludf.DUMMYFUNCTION("""COMPUTED_VALUE"""),45078.0)</f>
        <v>45078</v>
      </c>
      <c r="J371" s="9">
        <f>IFERROR(__xludf.DUMMYFUNCTION("""COMPUTED_VALUE"""),46174.0)</f>
        <v>46174</v>
      </c>
      <c r="K371" s="10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7" t="str">
        <f>IFERROR(__xludf.DUMMYFUNCTION("""COMPUTED_VALUE"""),"MIXON")</f>
        <v>MIXON</v>
      </c>
      <c r="B372" s="8" t="str">
        <f>IFERROR(__xludf.DUMMYFUNCTION("""COMPUTED_VALUE"""),"JULIAN")</f>
        <v>JULIAN</v>
      </c>
      <c r="C372" s="8" t="str">
        <f>IFERROR(__xludf.DUMMYFUNCTION("""COMPUTED_VALUE"""),"POPLARSVILLE")</f>
        <v>POPLARSVILLE</v>
      </c>
      <c r="D372" s="8" t="str">
        <f>IFERROR(__xludf.DUMMYFUNCTION("""COMPUTED_VALUE"""),"MS")</f>
        <v>MS</v>
      </c>
      <c r="E372" s="8" t="str">
        <f>IFERROR(__xludf.DUMMYFUNCTION("""COMPUTED_VALUE"""),"USA")</f>
        <v>USA</v>
      </c>
      <c r="F372" s="8" t="str">
        <f>IFERROR(__xludf.DUMMYFUNCTION("""COMPUTED_VALUE"""),"PRO 501 DBLS")</f>
        <v>PRO 501 DBLS</v>
      </c>
      <c r="G372" s="8" t="str">
        <f>IFERROR(__xludf.DUMMYFUNCTION("""COMPUTED_VALUE"""),"1")</f>
        <v>1</v>
      </c>
      <c r="H372" s="8" t="str">
        <f>IFERROR(__xludf.DUMMYFUNCTION("""COMPUTED_VALUE"""),"BS 37 TX")</f>
        <v>BS 37 TX</v>
      </c>
      <c r="I372" s="9">
        <f>IFERROR(__xludf.DUMMYFUNCTION("""COMPUTED_VALUE"""),45078.0)</f>
        <v>45078</v>
      </c>
      <c r="J372" s="9">
        <f>IFERROR(__xludf.DUMMYFUNCTION("""COMPUTED_VALUE"""),46174.0)</f>
        <v>46174</v>
      </c>
      <c r="K372" s="10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7" t="str">
        <f>IFERROR(__xludf.DUMMYFUNCTION("""COMPUTED_VALUE"""),"MONTGOMERY")</f>
        <v>MONTGOMERY</v>
      </c>
      <c r="B373" s="8" t="str">
        <f>IFERROR(__xludf.DUMMYFUNCTION("""COMPUTED_VALUE"""),"TYLER")</f>
        <v>TYLER</v>
      </c>
      <c r="C373" s="8" t="str">
        <f>IFERROR(__xludf.DUMMYFUNCTION("""COMPUTED_VALUE"""),"VINCENNES")</f>
        <v>VINCENNES</v>
      </c>
      <c r="D373" s="8" t="str">
        <f>IFERROR(__xludf.DUMMYFUNCTION("""COMPUTED_VALUE"""),"IN")</f>
        <v>IN</v>
      </c>
      <c r="E373" s="8" t="str">
        <f>IFERROR(__xludf.DUMMYFUNCTION("""COMPUTED_VALUE"""),"USA")</f>
        <v>USA</v>
      </c>
      <c r="F373" s="8" t="str">
        <f>IFERROR(__xludf.DUMMYFUNCTION("""COMPUTED_VALUE"""),"MEN CRICKET DBLS")</f>
        <v>MEN CRICKET DBLS</v>
      </c>
      <c r="G373" s="8" t="str">
        <f>IFERROR(__xludf.DUMMYFUNCTION("""COMPUTED_VALUE"""),"2")</f>
        <v>2</v>
      </c>
      <c r="H373" s="8" t="str">
        <f>IFERROR(__xludf.DUMMYFUNCTION("""COMPUTED_VALUE"""),"BS 37 IN")</f>
        <v>BS 37 IN</v>
      </c>
      <c r="I373" s="9">
        <f>IFERROR(__xludf.DUMMYFUNCTION("""COMPUTED_VALUE"""),45078.0)</f>
        <v>45078</v>
      </c>
      <c r="J373" s="9">
        <f>IFERROR(__xludf.DUMMYFUNCTION("""COMPUTED_VALUE"""),46174.0)</f>
        <v>46174</v>
      </c>
      <c r="K373" s="10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7" t="str">
        <f>IFERROR(__xludf.DUMMYFUNCTION("""COMPUTED_VALUE"""),"MOON")</f>
        <v>MOON</v>
      </c>
      <c r="B374" s="8" t="str">
        <f>IFERROR(__xludf.DUMMYFUNCTION("""COMPUTED_VALUE"""),"CHARLES")</f>
        <v>CHARLES</v>
      </c>
      <c r="C374" s="8" t="str">
        <f>IFERROR(__xludf.DUMMYFUNCTION("""COMPUTED_VALUE"""),"CADIZ")</f>
        <v>CADIZ</v>
      </c>
      <c r="D374" s="8" t="str">
        <f>IFERROR(__xludf.DUMMYFUNCTION("""COMPUTED_VALUE"""),"OH")</f>
        <v>OH</v>
      </c>
      <c r="E374" s="8" t="str">
        <f>IFERROR(__xludf.DUMMYFUNCTION("""COMPUTED_VALUE"""),"USA")</f>
        <v>USA</v>
      </c>
      <c r="F374" s="8" t="str">
        <f>IFERROR(__xludf.DUMMYFUNCTION("""COMPUTED_VALUE"""),"MEN 501 DBLS")</f>
        <v>MEN 501 DBLS</v>
      </c>
      <c r="G374" s="8" t="str">
        <f>IFERROR(__xludf.DUMMYFUNCTION("""COMPUTED_VALUE"""),"3")</f>
        <v>3</v>
      </c>
      <c r="H374" s="8" t="str">
        <f>IFERROR(__xludf.DUMMYFUNCTION("""COMPUTED_VALUE"""),"BS 37 PA")</f>
        <v>BS 37 PA</v>
      </c>
      <c r="I374" s="9">
        <f>IFERROR(__xludf.DUMMYFUNCTION("""COMPUTED_VALUE"""),45078.0)</f>
        <v>45078</v>
      </c>
      <c r="J374" s="9">
        <f>IFERROR(__xludf.DUMMYFUNCTION("""COMPUTED_VALUE"""),46174.0)</f>
        <v>46174</v>
      </c>
      <c r="K374" s="10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7" t="str">
        <f>IFERROR(__xludf.DUMMYFUNCTION("""COMPUTED_VALUE"""),"Mooneyham")</f>
        <v>Mooneyham</v>
      </c>
      <c r="B375" s="8" t="str">
        <f>IFERROR(__xludf.DUMMYFUNCTION("""COMPUTED_VALUE"""),"Ryan")</f>
        <v>Ryan</v>
      </c>
      <c r="C375" s="8"/>
      <c r="D375" s="8"/>
      <c r="E375" s="8" t="str">
        <f>IFERROR(__xludf.DUMMYFUNCTION("""COMPUTED_VALUE"""),"USA")</f>
        <v>USA</v>
      </c>
      <c r="F375" s="8"/>
      <c r="G375" s="8"/>
      <c r="H375" s="8" t="str">
        <f>IFERROR(__xludf.DUMMYFUNCTION("""COMPUTED_VALUE"""),"ADO Top 25 2020")</f>
        <v>ADO Top 25 2020</v>
      </c>
      <c r="I375" s="9">
        <f>IFERROR(__xludf.DUMMYFUNCTION("""COMPUTED_VALUE"""),44348.0)</f>
        <v>44348</v>
      </c>
      <c r="J375" s="9">
        <f>IFERROR(__xludf.DUMMYFUNCTION("""COMPUTED_VALUE"""),46539.0)</f>
        <v>46539</v>
      </c>
      <c r="K375" s="10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7" t="str">
        <f>IFERROR(__xludf.DUMMYFUNCTION("""COMPUTED_VALUE"""),"MOORE")</f>
        <v>MOORE</v>
      </c>
      <c r="B376" s="8" t="str">
        <f>IFERROR(__xludf.DUMMYFUNCTION("""COMPUTED_VALUE"""),"DEVIN")</f>
        <v>DEVIN</v>
      </c>
      <c r="C376" s="8" t="str">
        <f>IFERROR(__xludf.DUMMYFUNCTION("""COMPUTED_VALUE"""),"RAPID CITY")</f>
        <v>RAPID CITY</v>
      </c>
      <c r="D376" s="8" t="str">
        <f>IFERROR(__xludf.DUMMYFUNCTION("""COMPUTED_VALUE"""),"SD")</f>
        <v>SD</v>
      </c>
      <c r="E376" s="8" t="str">
        <f>IFERROR(__xludf.DUMMYFUNCTION("""COMPUTED_VALUE"""),"USA")</f>
        <v>USA</v>
      </c>
      <c r="F376" s="8" t="str">
        <f>IFERROR(__xludf.DUMMYFUNCTION("""COMPUTED_VALUE"""),"PRO/AM CRICKET")</f>
        <v>PRO/AM CRICKET</v>
      </c>
      <c r="G376" s="8" t="str">
        <f>IFERROR(__xludf.DUMMYFUNCTION("""COMPUTED_VALUE"""),"1ST")</f>
        <v>1ST</v>
      </c>
      <c r="H376" s="8" t="str">
        <f>IFERROR(__xludf.DUMMYFUNCTION("""COMPUTED_VALUE"""),"NE REGIONAL BS 38")</f>
        <v>NE REGIONAL BS 38</v>
      </c>
      <c r="I376" s="9">
        <f>IFERROR(__xludf.DUMMYFUNCTION("""COMPUTED_VALUE"""),45444.0)</f>
        <v>45444</v>
      </c>
      <c r="J376" s="9">
        <f>IFERROR(__xludf.DUMMYFUNCTION("""COMPUTED_VALUE"""),46539.0)</f>
        <v>46539</v>
      </c>
      <c r="K376" s="10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7" t="str">
        <f>IFERROR(__xludf.DUMMYFUNCTION("""COMPUTED_VALUE"""),"MOORE")</f>
        <v>MOORE</v>
      </c>
      <c r="B377" s="8" t="str">
        <f>IFERROR(__xludf.DUMMYFUNCTION("""COMPUTED_VALUE"""),"DANNY")</f>
        <v>DANNY</v>
      </c>
      <c r="C377" s="8" t="str">
        <f>IFERROR(__xludf.DUMMYFUNCTION("""COMPUTED_VALUE"""),"AURORA")</f>
        <v>AURORA</v>
      </c>
      <c r="D377" s="8" t="str">
        <f>IFERROR(__xludf.DUMMYFUNCTION("""COMPUTED_VALUE"""),"CO")</f>
        <v>CO</v>
      </c>
      <c r="E377" s="8" t="str">
        <f>IFERROR(__xludf.DUMMYFUNCTION("""COMPUTED_VALUE"""),"USA")</f>
        <v>USA</v>
      </c>
      <c r="F377" s="8" t="str">
        <f>IFERROR(__xludf.DUMMYFUNCTION("""COMPUTED_VALUE"""),"MENS PRO DBLS 501")</f>
        <v>MENS PRO DBLS 501</v>
      </c>
      <c r="G377" s="8" t="str">
        <f>IFERROR(__xludf.DUMMYFUNCTION("""COMPUTED_VALUE"""),"1ST")</f>
        <v>1ST</v>
      </c>
      <c r="H377" s="8" t="str">
        <f>IFERROR(__xludf.DUMMYFUNCTION("""COMPUTED_VALUE"""),"BS 36 REGIONAL WY")</f>
        <v>BS 36 REGIONAL WY</v>
      </c>
      <c r="I377" s="9">
        <f>IFERROR(__xludf.DUMMYFUNCTION("""COMPUTED_VALUE"""),44713.0)</f>
        <v>44713</v>
      </c>
      <c r="J377" s="9">
        <f>IFERROR(__xludf.DUMMYFUNCTION("""COMPUTED_VALUE"""),45809.0)</f>
        <v>45809</v>
      </c>
      <c r="K377" s="10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7" t="str">
        <f>IFERROR(__xludf.DUMMYFUNCTION("""COMPUTED_VALUE"""),"Morgan")</f>
        <v>Morgan</v>
      </c>
      <c r="B378" s="8" t="str">
        <f>IFERROR(__xludf.DUMMYFUNCTION("""COMPUTED_VALUE"""),"Ray")</f>
        <v>Ray</v>
      </c>
      <c r="C378" s="8" t="str">
        <f>IFERROR(__xludf.DUMMYFUNCTION("""COMPUTED_VALUE"""),"Sioux Falls")</f>
        <v>Sioux Falls</v>
      </c>
      <c r="D378" s="8" t="str">
        <f>IFERROR(__xludf.DUMMYFUNCTION("""COMPUTED_VALUE"""),"SD")</f>
        <v>SD</v>
      </c>
      <c r="E378" s="8" t="str">
        <f>IFERROR(__xludf.DUMMYFUNCTION("""COMPUTED_VALUE"""),"USA")</f>
        <v>USA</v>
      </c>
      <c r="F378" s="8" t="str">
        <f>IFERROR(__xludf.DUMMYFUNCTION("""COMPUTED_VALUE"""),"TopGun A/AA Triples")</f>
        <v>TopGun A/AA Triples</v>
      </c>
      <c r="G378" s="8" t="str">
        <f>IFERROR(__xludf.DUMMYFUNCTION("""COMPUTED_VALUE"""),"3rd")</f>
        <v>3rd</v>
      </c>
      <c r="H378" s="8" t="str">
        <f>IFERROR(__xludf.DUMMYFUNCTION("""COMPUTED_VALUE"""),"BullShooter 34 Finals")</f>
        <v>BullShooter 34 Finals</v>
      </c>
      <c r="I378" s="9">
        <f>IFERROR(__xludf.DUMMYFUNCTION("""COMPUTED_VALUE"""),43617.0)</f>
        <v>43617</v>
      </c>
      <c r="J378" s="9">
        <f>IFERROR(__xludf.DUMMYFUNCTION("""COMPUTED_VALUE"""),45809.0)</f>
        <v>45809</v>
      </c>
      <c r="K378" s="10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7" t="str">
        <f>IFERROR(__xludf.DUMMYFUNCTION("""COMPUTED_VALUE"""),"MORGAN")</f>
        <v>MORGAN</v>
      </c>
      <c r="B379" s="8" t="str">
        <f>IFERROR(__xludf.DUMMYFUNCTION("""COMPUTED_VALUE"""),"CHRIS")</f>
        <v>CHRIS</v>
      </c>
      <c r="C379" s="8" t="str">
        <f>IFERROR(__xludf.DUMMYFUNCTION("""COMPUTED_VALUE"""),"LIBERTY LAKE")</f>
        <v>LIBERTY LAKE</v>
      </c>
      <c r="D379" s="8" t="str">
        <f>IFERROR(__xludf.DUMMYFUNCTION("""COMPUTED_VALUE"""),"WA")</f>
        <v>WA</v>
      </c>
      <c r="E379" s="8" t="str">
        <f>IFERROR(__xludf.DUMMYFUNCTION("""COMPUTED_VALUE"""),"USA")</f>
        <v>USA</v>
      </c>
      <c r="F379" s="8" t="str">
        <f>IFERROR(__xludf.DUMMYFUNCTION("""COMPUTED_VALUE"""),"PRO CRICK DBLS")</f>
        <v>PRO CRICK DBLS</v>
      </c>
      <c r="G379" s="8" t="str">
        <f>IFERROR(__xludf.DUMMYFUNCTION("""COMPUTED_VALUE"""),"3")</f>
        <v>3</v>
      </c>
      <c r="H379" s="8" t="str">
        <f>IFERROR(__xludf.DUMMYFUNCTION("""COMPUTED_VALUE"""),"BS 37 WA")</f>
        <v>BS 37 WA</v>
      </c>
      <c r="I379" s="9">
        <f>IFERROR(__xludf.DUMMYFUNCTION("""COMPUTED_VALUE"""),45078.0)</f>
        <v>45078</v>
      </c>
      <c r="J379" s="9">
        <f>IFERROR(__xludf.DUMMYFUNCTION("""COMPUTED_VALUE"""),46174.0)</f>
        <v>46174</v>
      </c>
      <c r="K379" s="10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7" t="str">
        <f>IFERROR(__xludf.DUMMYFUNCTION("""COMPUTED_VALUE"""),"MORRIS")</f>
        <v>MORRIS</v>
      </c>
      <c r="B380" s="8" t="str">
        <f>IFERROR(__xludf.DUMMYFUNCTION("""COMPUTED_VALUE"""),"RANDY")</f>
        <v>RANDY</v>
      </c>
      <c r="C380" s="8" t="str">
        <f>IFERROR(__xludf.DUMMYFUNCTION("""COMPUTED_VALUE"""),"LAFEYETTE")</f>
        <v>LAFEYETTE</v>
      </c>
      <c r="D380" s="8" t="str">
        <f>IFERROR(__xludf.DUMMYFUNCTION("""COMPUTED_VALUE"""),"IN")</f>
        <v>IN</v>
      </c>
      <c r="E380" s="8" t="str">
        <f>IFERROR(__xludf.DUMMYFUNCTION("""COMPUTED_VALUE"""),"USA")</f>
        <v>USA</v>
      </c>
      <c r="F380" s="8" t="str">
        <f>IFERROR(__xludf.DUMMYFUNCTION("""COMPUTED_VALUE"""),"MENS DBLS CRICKET")</f>
        <v>MENS DBLS CRICKET</v>
      </c>
      <c r="G380" s="8" t="str">
        <f>IFERROR(__xludf.DUMMYFUNCTION("""COMPUTED_VALUE"""),"3RD")</f>
        <v>3RD</v>
      </c>
      <c r="H380" s="8" t="str">
        <f>IFERROR(__xludf.DUMMYFUNCTION("""COMPUTED_VALUE"""),"BS 36 REGIONAL IN")</f>
        <v>BS 36 REGIONAL IN</v>
      </c>
      <c r="I380" s="9">
        <f>IFERROR(__xludf.DUMMYFUNCTION("""COMPUTED_VALUE"""),44713.0)</f>
        <v>44713</v>
      </c>
      <c r="J380" s="9">
        <f>IFERROR(__xludf.DUMMYFUNCTION("""COMPUTED_VALUE"""),45809.0)</f>
        <v>45809</v>
      </c>
      <c r="K380" s="10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7" t="str">
        <f>IFERROR(__xludf.DUMMYFUNCTION("""COMPUTED_VALUE"""),"MOSELEY")</f>
        <v>MOSELEY</v>
      </c>
      <c r="B381" s="8" t="str">
        <f>IFERROR(__xludf.DUMMYFUNCTION("""COMPUTED_VALUE"""),"BRANDON")</f>
        <v>BRANDON</v>
      </c>
      <c r="C381" s="8" t="str">
        <f>IFERROR(__xludf.DUMMYFUNCTION("""COMPUTED_VALUE"""),"OCALA")</f>
        <v>OCALA</v>
      </c>
      <c r="D381" s="8" t="str">
        <f>IFERROR(__xludf.DUMMYFUNCTION("""COMPUTED_VALUE"""),"FL")</f>
        <v>FL</v>
      </c>
      <c r="E381" s="8" t="str">
        <f>IFERROR(__xludf.DUMMYFUNCTION("""COMPUTED_VALUE"""),"USA")</f>
        <v>USA</v>
      </c>
      <c r="F381" s="8" t="str">
        <f>IFERROR(__xludf.DUMMYFUNCTION("""COMPUTED_VALUE"""),"MENS PRO SINGLES CRICKET")</f>
        <v>MENS PRO SINGLES CRICKET</v>
      </c>
      <c r="G381" s="8" t="str">
        <f>IFERROR(__xludf.DUMMYFUNCTION("""COMPUTED_VALUE"""),"3RD")</f>
        <v>3RD</v>
      </c>
      <c r="H381" s="8" t="str">
        <f>IFERROR(__xludf.DUMMYFUNCTION("""COMPUTED_VALUE"""),"BS 36 REGIONAL FL")</f>
        <v>BS 36 REGIONAL FL</v>
      </c>
      <c r="I381" s="9">
        <f>IFERROR(__xludf.DUMMYFUNCTION("""COMPUTED_VALUE"""),44713.0)</f>
        <v>44713</v>
      </c>
      <c r="J381" s="9">
        <f>IFERROR(__xludf.DUMMYFUNCTION("""COMPUTED_VALUE"""),45809.0)</f>
        <v>45809</v>
      </c>
      <c r="K381" s="10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7" t="str">
        <f>IFERROR(__xludf.DUMMYFUNCTION("""COMPUTED_VALUE"""),"MUSCH")</f>
        <v>MUSCH</v>
      </c>
      <c r="B382" s="8" t="str">
        <f>IFERROR(__xludf.DUMMYFUNCTION("""COMPUTED_VALUE"""),"DREW")</f>
        <v>DREW</v>
      </c>
      <c r="C382" s="8" t="str">
        <f>IFERROR(__xludf.DUMMYFUNCTION("""COMPUTED_VALUE"""),"SPRING")</f>
        <v>SPRING</v>
      </c>
      <c r="D382" s="8" t="str">
        <f>IFERROR(__xludf.DUMMYFUNCTION("""COMPUTED_VALUE"""),"TX")</f>
        <v>TX</v>
      </c>
      <c r="E382" s="8" t="str">
        <f>IFERROR(__xludf.DUMMYFUNCTION("""COMPUTED_VALUE"""),"USA")</f>
        <v>USA</v>
      </c>
      <c r="F382" s="8" t="str">
        <f>IFERROR(__xludf.DUMMYFUNCTION("""COMPUTED_VALUE"""),"MENS DBLS 501")</f>
        <v>MENS DBLS 501</v>
      </c>
      <c r="G382" s="8" t="str">
        <f>IFERROR(__xludf.DUMMYFUNCTION("""COMPUTED_VALUE"""),"2ND")</f>
        <v>2ND</v>
      </c>
      <c r="H382" s="8" t="str">
        <f>IFERROR(__xludf.DUMMYFUNCTION("""COMPUTED_VALUE"""),"BS 36 REGIONAL TX")</f>
        <v>BS 36 REGIONAL TX</v>
      </c>
      <c r="I382" s="9">
        <f>IFERROR(__xludf.DUMMYFUNCTION("""COMPUTED_VALUE"""),44713.0)</f>
        <v>44713</v>
      </c>
      <c r="J382" s="9">
        <f>IFERROR(__xludf.DUMMYFUNCTION("""COMPUTED_VALUE"""),45809.0)</f>
        <v>45809</v>
      </c>
      <c r="K382" s="10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7" t="str">
        <f>IFERROR(__xludf.DUMMYFUNCTION("""COMPUTED_VALUE"""),"Mutton")</f>
        <v>Mutton</v>
      </c>
      <c r="B383" s="8" t="str">
        <f>IFERROR(__xludf.DUMMYFUNCTION("""COMPUTED_VALUE"""),"Terry")</f>
        <v>Terry</v>
      </c>
      <c r="C383" s="8" t="str">
        <f>IFERROR(__xludf.DUMMYFUNCTION("""COMPUTED_VALUE"""),"Peoria")</f>
        <v>Peoria</v>
      </c>
      <c r="D383" s="8" t="str">
        <f>IFERROR(__xludf.DUMMYFUNCTION("""COMPUTED_VALUE"""),"IL")</f>
        <v>IL</v>
      </c>
      <c r="E383" s="8" t="str">
        <f>IFERROR(__xludf.DUMMYFUNCTION("""COMPUTED_VALUE"""),"USA")</f>
        <v>USA</v>
      </c>
      <c r="F383" s="8" t="str">
        <f>IFERROR(__xludf.DUMMYFUNCTION("""COMPUTED_VALUE"""),"Known Pro")</f>
        <v>Known Pro</v>
      </c>
      <c r="G383" s="8"/>
      <c r="H383" s="8" t="str">
        <f>IFERROR(__xludf.DUMMYFUNCTION("""COMPUTED_VALUE"""),"Known Ability")</f>
        <v>Known Ability</v>
      </c>
      <c r="I383" s="9">
        <f>IFERROR(__xludf.DUMMYFUNCTION("""COMPUTED_VALUE"""),36892.0)</f>
        <v>36892</v>
      </c>
      <c r="J383" s="9">
        <f>IFERROR(__xludf.DUMMYFUNCTION("""COMPUTED_VALUE"""),47635.0)</f>
        <v>47635</v>
      </c>
      <c r="K383" s="10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7" t="str">
        <f>IFERROR(__xludf.DUMMYFUNCTION("""COMPUTED_VALUE"""),"NANKWENYA")</f>
        <v>NANKWENYA</v>
      </c>
      <c r="B384" s="8" t="str">
        <f>IFERROR(__xludf.DUMMYFUNCTION("""COMPUTED_VALUE"""),"ANDREW")</f>
        <v>ANDREW</v>
      </c>
      <c r="C384" s="8" t="str">
        <f>IFERROR(__xludf.DUMMYFUNCTION("""COMPUTED_VALUE"""),"LOUISVILLE")</f>
        <v>LOUISVILLE</v>
      </c>
      <c r="D384" s="8" t="str">
        <f>IFERROR(__xludf.DUMMYFUNCTION("""COMPUTED_VALUE"""),"KY")</f>
        <v>KY</v>
      </c>
      <c r="E384" s="8" t="str">
        <f>IFERROR(__xludf.DUMMYFUNCTION("""COMPUTED_VALUE"""),"USA")</f>
        <v>USA</v>
      </c>
      <c r="F384" s="8" t="str">
        <f>IFERROR(__xludf.DUMMYFUNCTION("""COMPUTED_VALUE"""),"MEN SINGLES")</f>
        <v>MEN SINGLES</v>
      </c>
      <c r="G384" s="8" t="str">
        <f>IFERROR(__xludf.DUMMYFUNCTION("""COMPUTED_VALUE"""),"1")</f>
        <v>1</v>
      </c>
      <c r="H384" s="8" t="str">
        <f>IFERROR(__xludf.DUMMYFUNCTION("""COMPUTED_VALUE"""),"BS 37 OH")</f>
        <v>BS 37 OH</v>
      </c>
      <c r="I384" s="9">
        <f>IFERROR(__xludf.DUMMYFUNCTION("""COMPUTED_VALUE"""),45078.0)</f>
        <v>45078</v>
      </c>
      <c r="J384" s="9">
        <f>IFERROR(__xludf.DUMMYFUNCTION("""COMPUTED_VALUE"""),46174.0)</f>
        <v>46174</v>
      </c>
      <c r="K384" s="10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7" t="str">
        <f>IFERROR(__xludf.DUMMYFUNCTION("""COMPUTED_VALUE"""),"NAYLOR")</f>
        <v>NAYLOR</v>
      </c>
      <c r="B385" s="8" t="str">
        <f>IFERROR(__xludf.DUMMYFUNCTION("""COMPUTED_VALUE"""),"DANIEL")</f>
        <v>DANIEL</v>
      </c>
      <c r="C385" s="8" t="str">
        <f>IFERROR(__xludf.DUMMYFUNCTION("""COMPUTED_VALUE"""),"ROCKY POINT")</f>
        <v>ROCKY POINT</v>
      </c>
      <c r="D385" s="8" t="str">
        <f>IFERROR(__xludf.DUMMYFUNCTION("""COMPUTED_VALUE"""),"NC")</f>
        <v>NC</v>
      </c>
      <c r="E385" s="8" t="str">
        <f>IFERROR(__xludf.DUMMYFUNCTION("""COMPUTED_VALUE"""),"USA")</f>
        <v>USA</v>
      </c>
      <c r="F385" s="8" t="str">
        <f>IFERROR(__xludf.DUMMYFUNCTION("""COMPUTED_VALUE"""),"PRO SINGLES")</f>
        <v>PRO SINGLES</v>
      </c>
      <c r="G385" s="8" t="str">
        <f>IFERROR(__xludf.DUMMYFUNCTION("""COMPUTED_VALUE"""),"2")</f>
        <v>2</v>
      </c>
      <c r="H385" s="8" t="str">
        <f>IFERROR(__xludf.DUMMYFUNCTION("""COMPUTED_VALUE"""),"BS 37 SC")</f>
        <v>BS 37 SC</v>
      </c>
      <c r="I385" s="9">
        <f>IFERROR(__xludf.DUMMYFUNCTION("""COMPUTED_VALUE"""),45078.0)</f>
        <v>45078</v>
      </c>
      <c r="J385" s="9">
        <f>IFERROR(__xludf.DUMMYFUNCTION("""COMPUTED_VALUE"""),46174.0)</f>
        <v>46174</v>
      </c>
      <c r="K385" s="10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7" t="str">
        <f>IFERROR(__xludf.DUMMYFUNCTION("""COMPUTED_VALUE"""),"Neal")</f>
        <v>Neal</v>
      </c>
      <c r="B386" s="8" t="str">
        <f>IFERROR(__xludf.DUMMYFUNCTION("""COMPUTED_VALUE"""),"Timothy")</f>
        <v>Timothy</v>
      </c>
      <c r="C386" s="8"/>
      <c r="D386" s="8"/>
      <c r="E386" s="8"/>
      <c r="F386" s="8" t="str">
        <f>IFERROR(__xludf.DUMMYFUNCTION("""COMPUTED_VALUE"""),"Mens 501 Dbls")</f>
        <v>Mens 501 Dbls</v>
      </c>
      <c r="G386" s="8" t="str">
        <f>IFERROR(__xludf.DUMMYFUNCTION("""COMPUTED_VALUE"""),"3rd")</f>
        <v>3rd</v>
      </c>
      <c r="H386" s="8" t="str">
        <f>IFERROR(__xludf.DUMMYFUNCTION("""COMPUTED_VALUE"""),"BS 38 Finals")</f>
        <v>BS 38 Finals</v>
      </c>
      <c r="I386" s="9">
        <f>IFERROR(__xludf.DUMMYFUNCTION("""COMPUTED_VALUE"""),45444.0)</f>
        <v>45444</v>
      </c>
      <c r="J386" s="9">
        <f>IFERROR(__xludf.DUMMYFUNCTION("""COMPUTED_VALUE"""),46539.0)</f>
        <v>46539</v>
      </c>
      <c r="K386" s="10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7" t="str">
        <f>IFERROR(__xludf.DUMMYFUNCTION("""COMPUTED_VALUE"""),"NEAL")</f>
        <v>NEAL</v>
      </c>
      <c r="B387" s="8" t="str">
        <f>IFERROR(__xludf.DUMMYFUNCTION("""COMPUTED_VALUE"""),"BRANDON")</f>
        <v>BRANDON</v>
      </c>
      <c r="C387" s="8" t="str">
        <f>IFERROR(__xludf.DUMMYFUNCTION("""COMPUTED_VALUE"""),"OMAHA")</f>
        <v>OMAHA</v>
      </c>
      <c r="D387" s="8" t="str">
        <f>IFERROR(__xludf.DUMMYFUNCTION("""COMPUTED_VALUE"""),"NE")</f>
        <v>NE</v>
      </c>
      <c r="E387" s="8" t="str">
        <f>IFERROR(__xludf.DUMMYFUNCTION("""COMPUTED_VALUE"""),"USA")</f>
        <v>USA</v>
      </c>
      <c r="F387" s="8" t="str">
        <f>IFERROR(__xludf.DUMMYFUNCTION("""COMPUTED_VALUE"""),"PRO 501 DBLS")</f>
        <v>PRO 501 DBLS</v>
      </c>
      <c r="G387" s="8" t="str">
        <f>IFERROR(__xludf.DUMMYFUNCTION("""COMPUTED_VALUE"""),"2")</f>
        <v>2</v>
      </c>
      <c r="H387" s="8" t="str">
        <f>IFERROR(__xludf.DUMMYFUNCTION("""COMPUTED_VALUE"""),"BS 37 NE")</f>
        <v>BS 37 NE</v>
      </c>
      <c r="I387" s="9">
        <f>IFERROR(__xludf.DUMMYFUNCTION("""COMPUTED_VALUE"""),45078.0)</f>
        <v>45078</v>
      </c>
      <c r="J387" s="9">
        <f>IFERROR(__xludf.DUMMYFUNCTION("""COMPUTED_VALUE"""),46174.0)</f>
        <v>46174</v>
      </c>
      <c r="K387" s="10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7" t="str">
        <f>IFERROR(__xludf.DUMMYFUNCTION("""COMPUTED_VALUE"""),"Newberry")</f>
        <v>Newberry</v>
      </c>
      <c r="B388" s="8" t="str">
        <f>IFERROR(__xludf.DUMMYFUNCTION("""COMPUTED_VALUE"""),"Lucky")</f>
        <v>Lucky</v>
      </c>
      <c r="C388" s="8" t="str">
        <f>IFERROR(__xludf.DUMMYFUNCTION("""COMPUTED_VALUE"""),"Phoenix")</f>
        <v>Phoenix</v>
      </c>
      <c r="D388" s="8" t="str">
        <f>IFERROR(__xludf.DUMMYFUNCTION("""COMPUTED_VALUE"""),"AZ")</f>
        <v>AZ</v>
      </c>
      <c r="E388" s="8" t="str">
        <f>IFERROR(__xludf.DUMMYFUNCTION("""COMPUTED_VALUE"""),"USA")</f>
        <v>USA</v>
      </c>
      <c r="F388" s="8" t="str">
        <f>IFERROR(__xludf.DUMMYFUNCTION("""COMPUTED_VALUE"""),"Known Pro")</f>
        <v>Known Pro</v>
      </c>
      <c r="G388" s="8"/>
      <c r="H388" s="8" t="str">
        <f>IFERROR(__xludf.DUMMYFUNCTION("""COMPUTED_VALUE"""),"Known Ability")</f>
        <v>Known Ability</v>
      </c>
      <c r="I388" s="9">
        <f>IFERROR(__xludf.DUMMYFUNCTION("""COMPUTED_VALUE"""),38124.0)</f>
        <v>38124</v>
      </c>
      <c r="J388" s="9">
        <f>IFERROR(__xludf.DUMMYFUNCTION("""COMPUTED_VALUE"""),47635.0)</f>
        <v>47635</v>
      </c>
      <c r="K388" s="10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7" t="str">
        <f>IFERROR(__xludf.DUMMYFUNCTION("""COMPUTED_VALUE"""),"NEWCOMER")</f>
        <v>NEWCOMER</v>
      </c>
      <c r="B389" s="8" t="str">
        <f>IFERROR(__xludf.DUMMYFUNCTION("""COMPUTED_VALUE"""),"CURTIS")</f>
        <v>CURTIS</v>
      </c>
      <c r="C389" s="8" t="str">
        <f>IFERROR(__xludf.DUMMYFUNCTION("""COMPUTED_VALUE"""),"HOUSTON")</f>
        <v>HOUSTON</v>
      </c>
      <c r="D389" s="8" t="str">
        <f>IFERROR(__xludf.DUMMYFUNCTION("""COMPUTED_VALUE"""),"TX")</f>
        <v>TX</v>
      </c>
      <c r="E389" s="8" t="str">
        <f>IFERROR(__xludf.DUMMYFUNCTION("""COMPUTED_VALUE"""),"USA")</f>
        <v>USA</v>
      </c>
      <c r="F389" s="8" t="str">
        <f>IFERROR(__xludf.DUMMYFUNCTION("""COMPUTED_VALUE"""),"MEN CRICKET DBLS")</f>
        <v>MEN CRICKET DBLS</v>
      </c>
      <c r="G389" s="8" t="str">
        <f>IFERROR(__xludf.DUMMYFUNCTION("""COMPUTED_VALUE"""),"3")</f>
        <v>3</v>
      </c>
      <c r="H389" s="8" t="str">
        <f>IFERROR(__xludf.DUMMYFUNCTION("""COMPUTED_VALUE"""),"BS 37 TX")</f>
        <v>BS 37 TX</v>
      </c>
      <c r="I389" s="9">
        <f>IFERROR(__xludf.DUMMYFUNCTION("""COMPUTED_VALUE"""),45078.0)</f>
        <v>45078</v>
      </c>
      <c r="J389" s="9">
        <f>IFERROR(__xludf.DUMMYFUNCTION("""COMPUTED_VALUE"""),46174.0)</f>
        <v>46174</v>
      </c>
      <c r="K389" s="10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7" t="str">
        <f>IFERROR(__xludf.DUMMYFUNCTION("""COMPUTED_VALUE"""),"Newton")</f>
        <v>Newton</v>
      </c>
      <c r="B390" s="8" t="str">
        <f>IFERROR(__xludf.DUMMYFUNCTION("""COMPUTED_VALUE"""),"Shad")</f>
        <v>Shad</v>
      </c>
      <c r="C390" s="8"/>
      <c r="D390" s="8"/>
      <c r="E390" s="8"/>
      <c r="F390" s="8" t="str">
        <f>IFERROR(__xludf.DUMMYFUNCTION("""COMPUTED_VALUE"""),"ADO Rank 2021")</f>
        <v>ADO Rank 2021</v>
      </c>
      <c r="G390" s="8"/>
      <c r="H390" s="8" t="str">
        <f>IFERROR(__xludf.DUMMYFUNCTION("""COMPUTED_VALUE"""),"ADO Rank 2021")</f>
        <v>ADO Rank 2021</v>
      </c>
      <c r="I390" s="9">
        <f>IFERROR(__xludf.DUMMYFUNCTION("""COMPUTED_VALUE"""),44348.0)</f>
        <v>44348</v>
      </c>
      <c r="J390" s="9">
        <f>IFERROR(__xludf.DUMMYFUNCTION("""COMPUTED_VALUE"""),46539.0)</f>
        <v>46539</v>
      </c>
      <c r="K390" s="10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7" t="str">
        <f>IFERROR(__xludf.DUMMYFUNCTION("""COMPUTED_VALUE"""),"NICHOLS JR")</f>
        <v>NICHOLS JR</v>
      </c>
      <c r="B391" s="8" t="str">
        <f>IFERROR(__xludf.DUMMYFUNCTION("""COMPUTED_VALUE"""),"BURL")</f>
        <v>BURL</v>
      </c>
      <c r="C391" s="8" t="str">
        <f>IFERROR(__xludf.DUMMYFUNCTION("""COMPUTED_VALUE"""),"CANNONSBURG")</f>
        <v>CANNONSBURG</v>
      </c>
      <c r="D391" s="8" t="str">
        <f>IFERROR(__xludf.DUMMYFUNCTION("""COMPUTED_VALUE"""),"PA")</f>
        <v>PA</v>
      </c>
      <c r="E391" s="8" t="str">
        <f>IFERROR(__xludf.DUMMYFUNCTION("""COMPUTED_VALUE"""),"USA")</f>
        <v>USA</v>
      </c>
      <c r="F391" s="8" t="str">
        <f>IFERROR(__xludf.DUMMYFUNCTION("""COMPUTED_VALUE"""),"MENS DBLS CRICKET")</f>
        <v>MENS DBLS CRICKET</v>
      </c>
      <c r="G391" s="8" t="str">
        <f>IFERROR(__xludf.DUMMYFUNCTION("""COMPUTED_VALUE"""),"3RD")</f>
        <v>3RD</v>
      </c>
      <c r="H391" s="8" t="str">
        <f>IFERROR(__xludf.DUMMYFUNCTION("""COMPUTED_VALUE"""),"BS 36 REGIONAL PA")</f>
        <v>BS 36 REGIONAL PA</v>
      </c>
      <c r="I391" s="9">
        <f>IFERROR(__xludf.DUMMYFUNCTION("""COMPUTED_VALUE"""),44713.0)</f>
        <v>44713</v>
      </c>
      <c r="J391" s="9">
        <f>IFERROR(__xludf.DUMMYFUNCTION("""COMPUTED_VALUE"""),45809.0)</f>
        <v>45809</v>
      </c>
      <c r="K391" s="10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7" t="str">
        <f>IFERROR(__xludf.DUMMYFUNCTION("""COMPUTED_VALUE"""),"NICOLL")</f>
        <v>NICOLL</v>
      </c>
      <c r="B392" s="8" t="str">
        <f>IFERROR(__xludf.DUMMYFUNCTION("""COMPUTED_VALUE"""),"GAVIN")</f>
        <v>GAVIN</v>
      </c>
      <c r="C392" s="8" t="str">
        <f>IFERROR(__xludf.DUMMYFUNCTION("""COMPUTED_VALUE"""),"CENTERVILLE")</f>
        <v>CENTERVILLE</v>
      </c>
      <c r="D392" s="8" t="str">
        <f>IFERROR(__xludf.DUMMYFUNCTION("""COMPUTED_VALUE"""),"OH")</f>
        <v>OH</v>
      </c>
      <c r="E392" s="8" t="str">
        <f>IFERROR(__xludf.DUMMYFUNCTION("""COMPUTED_VALUE"""),"USA")</f>
        <v>USA</v>
      </c>
      <c r="F392" s="8" t="str">
        <f>IFERROR(__xludf.DUMMYFUNCTION("""COMPUTED_VALUE"""),"MENS DBLS CRICKET")</f>
        <v>MENS DBLS CRICKET</v>
      </c>
      <c r="G392" s="8" t="str">
        <f>IFERROR(__xludf.DUMMYFUNCTION("""COMPUTED_VALUE"""),"1ST")</f>
        <v>1ST</v>
      </c>
      <c r="H392" s="8" t="str">
        <f>IFERROR(__xludf.DUMMYFUNCTION("""COMPUTED_VALUE"""),"BS 36 REGIONAL IN")</f>
        <v>BS 36 REGIONAL IN</v>
      </c>
      <c r="I392" s="9">
        <f>IFERROR(__xludf.DUMMYFUNCTION("""COMPUTED_VALUE"""),44713.0)</f>
        <v>44713</v>
      </c>
      <c r="J392" s="9">
        <f>IFERROR(__xludf.DUMMYFUNCTION("""COMPUTED_VALUE"""),45809.0)</f>
        <v>45809</v>
      </c>
      <c r="K392" s="10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7" t="str">
        <f>IFERROR(__xludf.DUMMYFUNCTION("""COMPUTED_VALUE"""),"NICOLL")</f>
        <v>NICOLL</v>
      </c>
      <c r="B393" s="8" t="str">
        <f>IFERROR(__xludf.DUMMYFUNCTION("""COMPUTED_VALUE"""),"PETER")</f>
        <v>PETER</v>
      </c>
      <c r="C393" s="8" t="str">
        <f>IFERROR(__xludf.DUMMYFUNCTION("""COMPUTED_VALUE"""),"KETTERING")</f>
        <v>KETTERING</v>
      </c>
      <c r="D393" s="8" t="str">
        <f>IFERROR(__xludf.DUMMYFUNCTION("""COMPUTED_VALUE"""),"OH")</f>
        <v>OH</v>
      </c>
      <c r="E393" s="8" t="str">
        <f>IFERROR(__xludf.DUMMYFUNCTION("""COMPUTED_VALUE"""),"USA")</f>
        <v>USA</v>
      </c>
      <c r="F393" s="8" t="str">
        <f>IFERROR(__xludf.DUMMYFUNCTION("""COMPUTED_VALUE"""),"MENS DBLS CRICKET")</f>
        <v>MENS DBLS CRICKET</v>
      </c>
      <c r="G393" s="8" t="str">
        <f>IFERROR(__xludf.DUMMYFUNCTION("""COMPUTED_VALUE"""),"1ST")</f>
        <v>1ST</v>
      </c>
      <c r="H393" s="8" t="str">
        <f>IFERROR(__xludf.DUMMYFUNCTION("""COMPUTED_VALUE"""),"BS 36 REGIONAL IN")</f>
        <v>BS 36 REGIONAL IN</v>
      </c>
      <c r="I393" s="9">
        <f>IFERROR(__xludf.DUMMYFUNCTION("""COMPUTED_VALUE"""),44713.0)</f>
        <v>44713</v>
      </c>
      <c r="J393" s="9">
        <f>IFERROR(__xludf.DUMMYFUNCTION("""COMPUTED_VALUE"""),45809.0)</f>
        <v>45809</v>
      </c>
      <c r="K393" s="10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7" t="str">
        <f>IFERROR(__xludf.DUMMYFUNCTION("""COMPUTED_VALUE"""),"Novo")</f>
        <v>Novo</v>
      </c>
      <c r="B394" s="8" t="str">
        <f>IFERROR(__xludf.DUMMYFUNCTION("""COMPUTED_VALUE"""),"Michel")</f>
        <v>Michel</v>
      </c>
      <c r="C394" s="8"/>
      <c r="D394" s="8" t="str">
        <f>IFERROR(__xludf.DUMMYFUNCTION("""COMPUTED_VALUE"""),"UNK")</f>
        <v>UNK</v>
      </c>
      <c r="E394" s="8" t="str">
        <f>IFERROR(__xludf.DUMMYFUNCTION("""COMPUTED_VALUE"""),"Belgium")</f>
        <v>Belgium</v>
      </c>
      <c r="F394" s="8" t="str">
        <f>IFERROR(__xludf.DUMMYFUNCTION("""COMPUTED_VALUE"""),"Known Pro")</f>
        <v>Known Pro</v>
      </c>
      <c r="G394" s="8"/>
      <c r="H394" s="8" t="str">
        <f>IFERROR(__xludf.DUMMYFUNCTION("""COMPUTED_VALUE"""),"Known Ability")</f>
        <v>Known Ability</v>
      </c>
      <c r="I394" s="9">
        <f>IFERROR(__xludf.DUMMYFUNCTION("""COMPUTED_VALUE"""),36892.0)</f>
        <v>36892</v>
      </c>
      <c r="J394" s="9">
        <f>IFERROR(__xludf.DUMMYFUNCTION("""COMPUTED_VALUE"""),47635.0)</f>
        <v>47635</v>
      </c>
      <c r="K394" s="10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7" t="str">
        <f>IFERROR(__xludf.DUMMYFUNCTION("""COMPUTED_VALUE"""),"NYOTHSOM")</f>
        <v>NYOTHSOM</v>
      </c>
      <c r="B395" s="8" t="str">
        <f>IFERROR(__xludf.DUMMYFUNCTION("""COMPUTED_VALUE"""),"ANTONIO")</f>
        <v>ANTONIO</v>
      </c>
      <c r="C395" s="8" t="str">
        <f>IFERROR(__xludf.DUMMYFUNCTION("""COMPUTED_VALUE"""),"LINCOLN")</f>
        <v>LINCOLN</v>
      </c>
      <c r="D395" s="8" t="str">
        <f>IFERROR(__xludf.DUMMYFUNCTION("""COMPUTED_VALUE"""),"CA")</f>
        <v>CA</v>
      </c>
      <c r="E395" s="8" t="str">
        <f>IFERROR(__xludf.DUMMYFUNCTION("""COMPUTED_VALUE"""),"USA")</f>
        <v>USA</v>
      </c>
      <c r="F395" s="8" t="str">
        <f>IFERROR(__xludf.DUMMYFUNCTION("""COMPUTED_VALUE"""),"PRO 501 DBLS")</f>
        <v>PRO 501 DBLS</v>
      </c>
      <c r="G395" s="8" t="str">
        <f>IFERROR(__xludf.DUMMYFUNCTION("""COMPUTED_VALUE"""),"3")</f>
        <v>3</v>
      </c>
      <c r="H395" s="8" t="str">
        <f>IFERROR(__xludf.DUMMYFUNCTION("""COMPUTED_VALUE"""),"BS 37 CA")</f>
        <v>BS 37 CA</v>
      </c>
      <c r="I395" s="9">
        <f>IFERROR(__xludf.DUMMYFUNCTION("""COMPUTED_VALUE"""),45078.0)</f>
        <v>45078</v>
      </c>
      <c r="J395" s="9">
        <f>IFERROR(__xludf.DUMMYFUNCTION("""COMPUTED_VALUE"""),46174.0)</f>
        <v>46174</v>
      </c>
      <c r="K395" s="10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7" t="str">
        <f>IFERROR(__xludf.DUMMYFUNCTION("""COMPUTED_VALUE"""),"OFLYNN")</f>
        <v>OFLYNN</v>
      </c>
      <c r="B396" s="8" t="str">
        <f>IFERROR(__xludf.DUMMYFUNCTION("""COMPUTED_VALUE"""),"RYAN")</f>
        <v>RYAN</v>
      </c>
      <c r="C396" s="8" t="str">
        <f>IFERROR(__xludf.DUMMYFUNCTION("""COMPUTED_VALUE"""),"WEBSTER")</f>
        <v>WEBSTER</v>
      </c>
      <c r="D396" s="8" t="str">
        <f>IFERROR(__xludf.DUMMYFUNCTION("""COMPUTED_VALUE"""),"NY")</f>
        <v>NY</v>
      </c>
      <c r="E396" s="8" t="str">
        <f>IFERROR(__xludf.DUMMYFUNCTION("""COMPUTED_VALUE"""),"USA")</f>
        <v>USA</v>
      </c>
      <c r="F396" s="8" t="str">
        <f>IFERROR(__xludf.DUMMYFUNCTION("""COMPUTED_VALUE"""),"MENS DBLS CRICKET")</f>
        <v>MENS DBLS CRICKET</v>
      </c>
      <c r="G396" s="8" t="str">
        <f>IFERROR(__xludf.DUMMYFUNCTION("""COMPUTED_VALUE"""),"3RD")</f>
        <v>3RD</v>
      </c>
      <c r="H396" s="8" t="str">
        <f>IFERROR(__xludf.DUMMYFUNCTION("""COMPUTED_VALUE"""),"BS 36 REGIONAL NY")</f>
        <v>BS 36 REGIONAL NY</v>
      </c>
      <c r="I396" s="9">
        <f>IFERROR(__xludf.DUMMYFUNCTION("""COMPUTED_VALUE"""),44713.0)</f>
        <v>44713</v>
      </c>
      <c r="J396" s="9">
        <f>IFERROR(__xludf.DUMMYFUNCTION("""COMPUTED_VALUE"""),45809.0)</f>
        <v>45809</v>
      </c>
      <c r="K396" s="10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7" t="str">
        <f>IFERROR(__xludf.DUMMYFUNCTION("""COMPUTED_VALUE"""),"OGLE")</f>
        <v>OGLE</v>
      </c>
      <c r="B397" s="8" t="str">
        <f>IFERROR(__xludf.DUMMYFUNCTION("""COMPUTED_VALUE"""),"KEVIN")</f>
        <v>KEVIN</v>
      </c>
      <c r="C397" s="8" t="str">
        <f>IFERROR(__xludf.DUMMYFUNCTION("""COMPUTED_VALUE"""),"SANTEE")</f>
        <v>SANTEE</v>
      </c>
      <c r="D397" s="8" t="str">
        <f>IFERROR(__xludf.DUMMYFUNCTION("""COMPUTED_VALUE"""),"CA")</f>
        <v>CA</v>
      </c>
      <c r="E397" s="8" t="str">
        <f>IFERROR(__xludf.DUMMYFUNCTION("""COMPUTED_VALUE"""),"USA")</f>
        <v>USA</v>
      </c>
      <c r="F397" s="8" t="str">
        <f>IFERROR(__xludf.DUMMYFUNCTION("""COMPUTED_VALUE"""),"MENS DBLS CRICKET")</f>
        <v>MENS DBLS CRICKET</v>
      </c>
      <c r="G397" s="8" t="str">
        <f>IFERROR(__xludf.DUMMYFUNCTION("""COMPUTED_VALUE"""),"1ST")</f>
        <v>1ST</v>
      </c>
      <c r="H397" s="8" t="str">
        <f>IFERROR(__xludf.DUMMYFUNCTION("""COMPUTED_VALUE"""),"BS 36 REGIONAL AZ")</f>
        <v>BS 36 REGIONAL AZ</v>
      </c>
      <c r="I397" s="9">
        <f>IFERROR(__xludf.DUMMYFUNCTION("""COMPUTED_VALUE"""),44713.0)</f>
        <v>44713</v>
      </c>
      <c r="J397" s="9">
        <f>IFERROR(__xludf.DUMMYFUNCTION("""COMPUTED_VALUE"""),45809.0)</f>
        <v>45809</v>
      </c>
      <c r="K397" s="10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7" t="str">
        <f>IFERROR(__xludf.DUMMYFUNCTION("""COMPUTED_VALUE"""),"OKUPNIAK")</f>
        <v>OKUPNIAK</v>
      </c>
      <c r="B398" s="8" t="str">
        <f>IFERROR(__xludf.DUMMYFUNCTION("""COMPUTED_VALUE"""),"JOSEPH")</f>
        <v>JOSEPH</v>
      </c>
      <c r="C398" s="8" t="str">
        <f>IFERROR(__xludf.DUMMYFUNCTION("""COMPUTED_VALUE"""),"MILWAUKEE")</f>
        <v>MILWAUKEE</v>
      </c>
      <c r="D398" s="8" t="str">
        <f>IFERROR(__xludf.DUMMYFUNCTION("""COMPUTED_VALUE"""),"WI")</f>
        <v>WI</v>
      </c>
      <c r="E398" s="8" t="str">
        <f>IFERROR(__xludf.DUMMYFUNCTION("""COMPUTED_VALUE"""),"USA")</f>
        <v>USA</v>
      </c>
      <c r="F398" s="8" t="str">
        <f>IFERROR(__xludf.DUMMYFUNCTION("""COMPUTED_VALUE"""),"MENS DBLS 501")</f>
        <v>MENS DBLS 501</v>
      </c>
      <c r="G398" s="8" t="str">
        <f>IFERROR(__xludf.DUMMYFUNCTION("""COMPUTED_VALUE"""),"2ND")</f>
        <v>2ND</v>
      </c>
      <c r="H398" s="8" t="str">
        <f>IFERROR(__xludf.DUMMYFUNCTION("""COMPUTED_VALUE"""),"BS 36 REGIONAL NE")</f>
        <v>BS 36 REGIONAL NE</v>
      </c>
      <c r="I398" s="9">
        <f>IFERROR(__xludf.DUMMYFUNCTION("""COMPUTED_VALUE"""),44713.0)</f>
        <v>44713</v>
      </c>
      <c r="J398" s="9">
        <f>IFERROR(__xludf.DUMMYFUNCTION("""COMPUTED_VALUE"""),45809.0)</f>
        <v>45809</v>
      </c>
      <c r="K398" s="1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7" t="str">
        <f>IFERROR(__xludf.DUMMYFUNCTION("""COMPUTED_VALUE"""),"OLIC")</f>
        <v>OLIC</v>
      </c>
      <c r="B399" s="8" t="str">
        <f>IFERROR(__xludf.DUMMYFUNCTION("""COMPUTED_VALUE"""),"ANDREW")</f>
        <v>ANDREW</v>
      </c>
      <c r="C399" s="8" t="str">
        <f>IFERROR(__xludf.DUMMYFUNCTION("""COMPUTED_VALUE"""),"OBERLIN")</f>
        <v>OBERLIN</v>
      </c>
      <c r="D399" s="8" t="str">
        <f>IFERROR(__xludf.DUMMYFUNCTION("""COMPUTED_VALUE"""),"OH")</f>
        <v>OH</v>
      </c>
      <c r="E399" s="8" t="str">
        <f>IFERROR(__xludf.DUMMYFUNCTION("""COMPUTED_VALUE"""),"USA")</f>
        <v>USA</v>
      </c>
      <c r="F399" s="8" t="str">
        <f>IFERROR(__xludf.DUMMYFUNCTION("""COMPUTED_VALUE"""),"MEN 501 DBLS")</f>
        <v>MEN 501 DBLS</v>
      </c>
      <c r="G399" s="8" t="str">
        <f>IFERROR(__xludf.DUMMYFUNCTION("""COMPUTED_VALUE"""),"2")</f>
        <v>2</v>
      </c>
      <c r="H399" s="8" t="str">
        <f>IFERROR(__xludf.DUMMYFUNCTION("""COMPUTED_VALUE"""),"BS 37 FINALS")</f>
        <v>BS 37 FINALS</v>
      </c>
      <c r="I399" s="9">
        <f>IFERROR(__xludf.DUMMYFUNCTION("""COMPUTED_VALUE"""),45078.0)</f>
        <v>45078</v>
      </c>
      <c r="J399" s="9">
        <f>IFERROR(__xludf.DUMMYFUNCTION("""COMPUTED_VALUE"""),46174.0)</f>
        <v>46174</v>
      </c>
      <c r="K399" s="1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7" t="str">
        <f>IFERROR(__xludf.DUMMYFUNCTION("""COMPUTED_VALUE"""),"OLSON")</f>
        <v>OLSON</v>
      </c>
      <c r="B400" s="8" t="str">
        <f>IFERROR(__xludf.DUMMYFUNCTION("""COMPUTED_VALUE"""),"RYAN")</f>
        <v>RYAN</v>
      </c>
      <c r="C400" s="8" t="str">
        <f>IFERROR(__xludf.DUMMYFUNCTION("""COMPUTED_VALUE"""),"MILTON")</f>
        <v>MILTON</v>
      </c>
      <c r="D400" s="8" t="str">
        <f>IFERROR(__xludf.DUMMYFUNCTION("""COMPUTED_VALUE"""),"WI")</f>
        <v>WI</v>
      </c>
      <c r="E400" s="8" t="str">
        <f>IFERROR(__xludf.DUMMYFUNCTION("""COMPUTED_VALUE"""),"USA")</f>
        <v>USA</v>
      </c>
      <c r="F400" s="8" t="str">
        <f>IFERROR(__xludf.DUMMYFUNCTION("""COMPUTED_VALUE"""),"PRO MEN SINGLES")</f>
        <v>PRO MEN SINGLES</v>
      </c>
      <c r="G400" s="8" t="str">
        <f>IFERROR(__xludf.DUMMYFUNCTION("""COMPUTED_VALUE"""),"5 6")</f>
        <v>5 6</v>
      </c>
      <c r="H400" s="8" t="str">
        <f>IFERROR(__xludf.DUMMYFUNCTION("""COMPUTED_VALUE"""),"BS 37 FINALS")</f>
        <v>BS 37 FINALS</v>
      </c>
      <c r="I400" s="9">
        <f>IFERROR(__xludf.DUMMYFUNCTION("""COMPUTED_VALUE"""),45078.0)</f>
        <v>45078</v>
      </c>
      <c r="J400" s="9">
        <f>IFERROR(__xludf.DUMMYFUNCTION("""COMPUTED_VALUE"""),46174.0)</f>
        <v>46174</v>
      </c>
      <c r="K400" s="1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7" t="str">
        <f>IFERROR(__xludf.DUMMYFUNCTION("""COMPUTED_VALUE"""),"OLSON")</f>
        <v>OLSON</v>
      </c>
      <c r="B401" s="8" t="str">
        <f>IFERROR(__xludf.DUMMYFUNCTION("""COMPUTED_VALUE"""),"THOMAS")</f>
        <v>THOMAS</v>
      </c>
      <c r="C401" s="8" t="str">
        <f>IFERROR(__xludf.DUMMYFUNCTION("""COMPUTED_VALUE"""),"JANESVILLE")</f>
        <v>JANESVILLE</v>
      </c>
      <c r="D401" s="8" t="str">
        <f>IFERROR(__xludf.DUMMYFUNCTION("""COMPUTED_VALUE"""),"WI")</f>
        <v>WI</v>
      </c>
      <c r="E401" s="8" t="str">
        <f>IFERROR(__xludf.DUMMYFUNCTION("""COMPUTED_VALUE"""),"USA")</f>
        <v>USA</v>
      </c>
      <c r="F401" s="8" t="str">
        <f>IFERROR(__xludf.DUMMYFUNCTION("""COMPUTED_VALUE"""),"MEN 501 SINGLES")</f>
        <v>MEN 501 SINGLES</v>
      </c>
      <c r="G401" s="8" t="str">
        <f>IFERROR(__xludf.DUMMYFUNCTION("""COMPUTED_VALUE"""),"2")</f>
        <v>2</v>
      </c>
      <c r="H401" s="8" t="str">
        <f>IFERROR(__xludf.DUMMYFUNCTION("""COMPUTED_VALUE"""),"BS 37 FINALS")</f>
        <v>BS 37 FINALS</v>
      </c>
      <c r="I401" s="9">
        <f>IFERROR(__xludf.DUMMYFUNCTION("""COMPUTED_VALUE"""),45078.0)</f>
        <v>45078</v>
      </c>
      <c r="J401" s="9">
        <f>IFERROR(__xludf.DUMMYFUNCTION("""COMPUTED_VALUE"""),46174.0)</f>
        <v>46174</v>
      </c>
      <c r="K401" s="1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7" t="str">
        <f>IFERROR(__xludf.DUMMYFUNCTION("""COMPUTED_VALUE"""),"OLSON")</f>
        <v>OLSON</v>
      </c>
      <c r="B402" s="8" t="str">
        <f>IFERROR(__xludf.DUMMYFUNCTION("""COMPUTED_VALUE"""),"MONTY")</f>
        <v>MONTY</v>
      </c>
      <c r="C402" s="8" t="str">
        <f>IFERROR(__xludf.DUMMYFUNCTION("""COMPUTED_VALUE"""),"RAPID CITY")</f>
        <v>RAPID CITY</v>
      </c>
      <c r="D402" s="8" t="str">
        <f>IFERROR(__xludf.DUMMYFUNCTION("""COMPUTED_VALUE"""),"SD")</f>
        <v>SD</v>
      </c>
      <c r="E402" s="8" t="str">
        <f>IFERROR(__xludf.DUMMYFUNCTION("""COMPUTED_VALUE"""),"USA")</f>
        <v>USA</v>
      </c>
      <c r="F402" s="8" t="str">
        <f>IFERROR(__xludf.DUMMYFUNCTION("""COMPUTED_VALUE"""),"MENS DBLS 501")</f>
        <v>MENS DBLS 501</v>
      </c>
      <c r="G402" s="8" t="str">
        <f>IFERROR(__xludf.DUMMYFUNCTION("""COMPUTED_VALUE"""),"2ND")</f>
        <v>2ND</v>
      </c>
      <c r="H402" s="8" t="str">
        <f>IFERROR(__xludf.DUMMYFUNCTION("""COMPUTED_VALUE"""),"BS 36 REGIONAL NY")</f>
        <v>BS 36 REGIONAL NY</v>
      </c>
      <c r="I402" s="9">
        <f>IFERROR(__xludf.DUMMYFUNCTION("""COMPUTED_VALUE"""),44713.0)</f>
        <v>44713</v>
      </c>
      <c r="J402" s="9">
        <f>IFERROR(__xludf.DUMMYFUNCTION("""COMPUTED_VALUE"""),45809.0)</f>
        <v>45809</v>
      </c>
      <c r="K402" s="10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7" t="str">
        <f>IFERROR(__xludf.DUMMYFUNCTION("""COMPUTED_VALUE"""),"Olson")</f>
        <v>Olson</v>
      </c>
      <c r="B403" s="8" t="str">
        <f>IFERROR(__xludf.DUMMYFUNCTION("""COMPUTED_VALUE"""),"Jeff")</f>
        <v>Jeff</v>
      </c>
      <c r="C403" s="8"/>
      <c r="D403" s="8"/>
      <c r="E403" s="8" t="str">
        <f>IFERROR(__xludf.DUMMYFUNCTION("""COMPUTED_VALUE"""),"USA")</f>
        <v>USA</v>
      </c>
      <c r="F403" s="8"/>
      <c r="G403" s="8"/>
      <c r="H403" s="8" t="str">
        <f>IFERROR(__xludf.DUMMYFUNCTION("""COMPUTED_VALUE"""),"ADO Top 25 2020")</f>
        <v>ADO Top 25 2020</v>
      </c>
      <c r="I403" s="9">
        <f>IFERROR(__xludf.DUMMYFUNCTION("""COMPUTED_VALUE"""),44348.0)</f>
        <v>44348</v>
      </c>
      <c r="J403" s="9">
        <f>IFERROR(__xludf.DUMMYFUNCTION("""COMPUTED_VALUE"""),46539.0)</f>
        <v>46539</v>
      </c>
      <c r="K403" s="10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7" t="str">
        <f>IFERROR(__xludf.DUMMYFUNCTION("""COMPUTED_VALUE"""),"OTTO")</f>
        <v>OTTO</v>
      </c>
      <c r="B404" s="8" t="str">
        <f>IFERROR(__xludf.DUMMYFUNCTION("""COMPUTED_VALUE"""),"PAUL")</f>
        <v>PAUL</v>
      </c>
      <c r="C404" s="8" t="str">
        <f>IFERROR(__xludf.DUMMYFUNCTION("""COMPUTED_VALUE"""),"WARREN")</f>
        <v>WARREN</v>
      </c>
      <c r="D404" s="8" t="str">
        <f>IFERROR(__xludf.DUMMYFUNCTION("""COMPUTED_VALUE"""),"MI")</f>
        <v>MI</v>
      </c>
      <c r="E404" s="8" t="str">
        <f>IFERROR(__xludf.DUMMYFUNCTION("""COMPUTED_VALUE"""),"USA")</f>
        <v>USA</v>
      </c>
      <c r="F404" s="8" t="str">
        <f>IFERROR(__xludf.DUMMYFUNCTION("""COMPUTED_VALUE"""),"MENS DBLS CRICKET")</f>
        <v>MENS DBLS CRICKET</v>
      </c>
      <c r="G404" s="8" t="str">
        <f>IFERROR(__xludf.DUMMYFUNCTION("""COMPUTED_VALUE"""),"2ND")</f>
        <v>2ND</v>
      </c>
      <c r="H404" s="8" t="str">
        <f>IFERROR(__xludf.DUMMYFUNCTION("""COMPUTED_VALUE"""),"BS 36 REGIONAL SC")</f>
        <v>BS 36 REGIONAL SC</v>
      </c>
      <c r="I404" s="9">
        <f>IFERROR(__xludf.DUMMYFUNCTION("""COMPUTED_VALUE"""),44713.0)</f>
        <v>44713</v>
      </c>
      <c r="J404" s="9">
        <f>IFERROR(__xludf.DUMMYFUNCTION("""COMPUTED_VALUE"""),45809.0)</f>
        <v>45809</v>
      </c>
      <c r="K404" s="10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7" t="str">
        <f>IFERROR(__xludf.DUMMYFUNCTION("""COMPUTED_VALUE"""),"OTTO")</f>
        <v>OTTO</v>
      </c>
      <c r="B405" s="8" t="str">
        <f>IFERROR(__xludf.DUMMYFUNCTION("""COMPUTED_VALUE"""),"RONALD")</f>
        <v>RONALD</v>
      </c>
      <c r="C405" s="8" t="str">
        <f>IFERROR(__xludf.DUMMYFUNCTION("""COMPUTED_VALUE"""),"ROSEVILLE")</f>
        <v>ROSEVILLE</v>
      </c>
      <c r="D405" s="8" t="str">
        <f>IFERROR(__xludf.DUMMYFUNCTION("""COMPUTED_VALUE"""),"MI")</f>
        <v>MI</v>
      </c>
      <c r="E405" s="8" t="str">
        <f>IFERROR(__xludf.DUMMYFUNCTION("""COMPUTED_VALUE"""),"USA")</f>
        <v>USA</v>
      </c>
      <c r="F405" s="8" t="str">
        <f>IFERROR(__xludf.DUMMYFUNCTION("""COMPUTED_VALUE"""),"MENS DBLS CRICKET")</f>
        <v>MENS DBLS CRICKET</v>
      </c>
      <c r="G405" s="8" t="str">
        <f>IFERROR(__xludf.DUMMYFUNCTION("""COMPUTED_VALUE"""),"2ND")</f>
        <v>2ND</v>
      </c>
      <c r="H405" s="8" t="str">
        <f>IFERROR(__xludf.DUMMYFUNCTION("""COMPUTED_VALUE"""),"BS 36 REGIONAL SC")</f>
        <v>BS 36 REGIONAL SC</v>
      </c>
      <c r="I405" s="9">
        <f>IFERROR(__xludf.DUMMYFUNCTION("""COMPUTED_VALUE"""),44713.0)</f>
        <v>44713</v>
      </c>
      <c r="J405" s="9">
        <f>IFERROR(__xludf.DUMMYFUNCTION("""COMPUTED_VALUE"""),45809.0)</f>
        <v>45809</v>
      </c>
      <c r="K405" s="10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7" t="str">
        <f>IFERROR(__xludf.DUMMYFUNCTION("""COMPUTED_VALUE"""),"Pace")</f>
        <v>Pace</v>
      </c>
      <c r="B406" s="8" t="str">
        <f>IFERROR(__xludf.DUMMYFUNCTION("""COMPUTED_VALUE"""),"Tom")</f>
        <v>Tom</v>
      </c>
      <c r="C406" s="8" t="str">
        <f>IFERROR(__xludf.DUMMYFUNCTION("""COMPUTED_VALUE"""),"Nashville")</f>
        <v>Nashville</v>
      </c>
      <c r="D406" s="8" t="str">
        <f>IFERROR(__xludf.DUMMYFUNCTION("""COMPUTED_VALUE"""),"TN")</f>
        <v>TN</v>
      </c>
      <c r="E406" s="8" t="str">
        <f>IFERROR(__xludf.DUMMYFUNCTION("""COMPUTED_VALUE"""),"USA")</f>
        <v>USA</v>
      </c>
      <c r="F406" s="8" t="str">
        <f>IFERROR(__xludf.DUMMYFUNCTION("""COMPUTED_VALUE"""),"Known Pro")</f>
        <v>Known Pro</v>
      </c>
      <c r="G406" s="8"/>
      <c r="H406" s="8" t="str">
        <f>IFERROR(__xludf.DUMMYFUNCTION("""COMPUTED_VALUE"""),"Known Ability")</f>
        <v>Known Ability</v>
      </c>
      <c r="I406" s="9">
        <f>IFERROR(__xludf.DUMMYFUNCTION("""COMPUTED_VALUE"""),36892.0)</f>
        <v>36892</v>
      </c>
      <c r="J406" s="9">
        <f>IFERROR(__xludf.DUMMYFUNCTION("""COMPUTED_VALUE"""),47635.0)</f>
        <v>47635</v>
      </c>
      <c r="K406" s="10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7" t="str">
        <f>IFERROR(__xludf.DUMMYFUNCTION("""COMPUTED_VALUE"""),"Pace")</f>
        <v>Pace</v>
      </c>
      <c r="B407" s="8" t="str">
        <f>IFERROR(__xludf.DUMMYFUNCTION("""COMPUTED_VALUE"""),"Danny")</f>
        <v>Danny</v>
      </c>
      <c r="C407" s="8" t="str">
        <f>IFERROR(__xludf.DUMMYFUNCTION("""COMPUTED_VALUE"""),"Commerce City")</f>
        <v>Commerce City</v>
      </c>
      <c r="D407" s="8" t="str">
        <f>IFERROR(__xludf.DUMMYFUNCTION("""COMPUTED_VALUE"""),"CO")</f>
        <v>CO</v>
      </c>
      <c r="E407" s="8" t="str">
        <f>IFERROR(__xludf.DUMMYFUNCTION("""COMPUTED_VALUE"""),"USA")</f>
        <v>USA</v>
      </c>
      <c r="F407" s="8"/>
      <c r="G407" s="8"/>
      <c r="H407" s="8" t="str">
        <f>IFERROR(__xludf.DUMMYFUNCTION("""COMPUTED_VALUE"""),"ADO Top 25 2020")</f>
        <v>ADO Top 25 2020</v>
      </c>
      <c r="I407" s="9">
        <f>IFERROR(__xludf.DUMMYFUNCTION("""COMPUTED_VALUE"""),44348.0)</f>
        <v>44348</v>
      </c>
      <c r="J407" s="9">
        <f>IFERROR(__xludf.DUMMYFUNCTION("""COMPUTED_VALUE"""),46539.0)</f>
        <v>46539</v>
      </c>
      <c r="K407" s="10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7" t="str">
        <f>IFERROR(__xludf.DUMMYFUNCTION("""COMPUTED_VALUE"""),"PAGNOZZI")</f>
        <v>PAGNOZZI</v>
      </c>
      <c r="B408" s="8" t="str">
        <f>IFERROR(__xludf.DUMMYFUNCTION("""COMPUTED_VALUE"""),"DOMINIC")</f>
        <v>DOMINIC</v>
      </c>
      <c r="C408" s="8" t="str">
        <f>IFERROR(__xludf.DUMMYFUNCTION("""COMPUTED_VALUE"""),"WADING RIVER")</f>
        <v>WADING RIVER</v>
      </c>
      <c r="D408" s="8" t="str">
        <f>IFERROR(__xludf.DUMMYFUNCTION("""COMPUTED_VALUE"""),"NY")</f>
        <v>NY</v>
      </c>
      <c r="E408" s="8" t="str">
        <f>IFERROR(__xludf.DUMMYFUNCTION("""COMPUTED_VALUE"""),"USA")</f>
        <v>USA</v>
      </c>
      <c r="F408" s="8" t="str">
        <f>IFERROR(__xludf.DUMMYFUNCTION("""COMPUTED_VALUE"""),"MEN 501 DBLS")</f>
        <v>MEN 501 DBLS</v>
      </c>
      <c r="G408" s="8" t="str">
        <f>IFERROR(__xludf.DUMMYFUNCTION("""COMPUTED_VALUE"""),"3")</f>
        <v>3</v>
      </c>
      <c r="H408" s="8" t="str">
        <f>IFERROR(__xludf.DUMMYFUNCTION("""COMPUTED_VALUE"""),"BS 37 SC")</f>
        <v>BS 37 SC</v>
      </c>
      <c r="I408" s="9">
        <f>IFERROR(__xludf.DUMMYFUNCTION("""COMPUTED_VALUE"""),45078.0)</f>
        <v>45078</v>
      </c>
      <c r="J408" s="9">
        <f>IFERROR(__xludf.DUMMYFUNCTION("""COMPUTED_VALUE"""),46174.0)</f>
        <v>46174</v>
      </c>
      <c r="K408" s="10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7" t="str">
        <f>IFERROR(__xludf.DUMMYFUNCTION("""COMPUTED_VALUE"""),"PAIZ")</f>
        <v>PAIZ</v>
      </c>
      <c r="B409" s="8" t="str">
        <f>IFERROR(__xludf.DUMMYFUNCTION("""COMPUTED_VALUE"""),"FIDEL")</f>
        <v>FIDEL</v>
      </c>
      <c r="C409" s="8" t="str">
        <f>IFERROR(__xludf.DUMMYFUNCTION("""COMPUTED_VALUE"""),"SAN ANTONIO")</f>
        <v>SAN ANTONIO</v>
      </c>
      <c r="D409" s="8" t="str">
        <f>IFERROR(__xludf.DUMMYFUNCTION("""COMPUTED_VALUE"""),"TX")</f>
        <v>TX</v>
      </c>
      <c r="E409" s="8" t="str">
        <f>IFERROR(__xludf.DUMMYFUNCTION("""COMPUTED_VALUE"""),"USA")</f>
        <v>USA</v>
      </c>
      <c r="F409" s="8" t="str">
        <f>IFERROR(__xludf.DUMMYFUNCTION("""COMPUTED_VALUE"""),"MENS DBLS 501")</f>
        <v>MENS DBLS 501</v>
      </c>
      <c r="G409" s="8" t="str">
        <f>IFERROR(__xludf.DUMMYFUNCTION("""COMPUTED_VALUE"""),"1ST")</f>
        <v>1ST</v>
      </c>
      <c r="H409" s="8" t="str">
        <f>IFERROR(__xludf.DUMMYFUNCTION("""COMPUTED_VALUE"""),"BS 36 REGIONAL TX")</f>
        <v>BS 36 REGIONAL TX</v>
      </c>
      <c r="I409" s="9">
        <f>IFERROR(__xludf.DUMMYFUNCTION("""COMPUTED_VALUE"""),44713.0)</f>
        <v>44713</v>
      </c>
      <c r="J409" s="9">
        <f>IFERROR(__xludf.DUMMYFUNCTION("""COMPUTED_VALUE"""),45809.0)</f>
        <v>45809</v>
      </c>
      <c r="K409" s="10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7" t="str">
        <f>IFERROR(__xludf.DUMMYFUNCTION("""COMPUTED_VALUE"""),"PAR")</f>
        <v>PAR</v>
      </c>
      <c r="B410" s="8" t="str">
        <f>IFERROR(__xludf.DUMMYFUNCTION("""COMPUTED_VALUE"""),"KEVIN")</f>
        <v>KEVIN</v>
      </c>
      <c r="C410" s="8"/>
      <c r="D410" s="8"/>
      <c r="E410" s="8" t="str">
        <f>IFERROR(__xludf.DUMMYFUNCTION("""COMPUTED_VALUE"""),"CANADA")</f>
        <v>CANADA</v>
      </c>
      <c r="F410" s="8" t="str">
        <f>IFERROR(__xludf.DUMMYFUNCTION("""COMPUTED_VALUE"""),"MIXED 701 TRIPLES")</f>
        <v>MIXED 701 TRIPLES</v>
      </c>
      <c r="G410" s="8" t="str">
        <f>IFERROR(__xludf.DUMMYFUNCTION("""COMPUTED_VALUE"""),"1")</f>
        <v>1</v>
      </c>
      <c r="H410" s="8" t="str">
        <f>IFERROR(__xludf.DUMMYFUNCTION("""COMPUTED_VALUE"""),"BS 37 NY")</f>
        <v>BS 37 NY</v>
      </c>
      <c r="I410" s="9">
        <f>IFERROR(__xludf.DUMMYFUNCTION("""COMPUTED_VALUE"""),45078.0)</f>
        <v>45078</v>
      </c>
      <c r="J410" s="9">
        <f>IFERROR(__xludf.DUMMYFUNCTION("""COMPUTED_VALUE"""),46174.0)</f>
        <v>46174</v>
      </c>
      <c r="K410" s="10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7" t="str">
        <f>IFERROR(__xludf.DUMMYFUNCTION("""COMPUTED_VALUE"""),"PARDON")</f>
        <v>PARDON</v>
      </c>
      <c r="B411" s="8" t="str">
        <f>IFERROR(__xludf.DUMMYFUNCTION("""COMPUTED_VALUE"""),"JUAN")</f>
        <v>JUAN</v>
      </c>
      <c r="C411" s="8" t="str">
        <f>IFERROR(__xludf.DUMMYFUNCTION("""COMPUTED_VALUE"""),"SPRING")</f>
        <v>SPRING</v>
      </c>
      <c r="D411" s="8" t="str">
        <f>IFERROR(__xludf.DUMMYFUNCTION("""COMPUTED_VALUE"""),"TX")</f>
        <v>TX</v>
      </c>
      <c r="E411" s="8" t="str">
        <f>IFERROR(__xludf.DUMMYFUNCTION("""COMPUTED_VALUE"""),"USA")</f>
        <v>USA</v>
      </c>
      <c r="F411" s="8" t="str">
        <f>IFERROR(__xludf.DUMMYFUNCTION("""COMPUTED_VALUE"""),"MENS DBLS 501")</f>
        <v>MENS DBLS 501</v>
      </c>
      <c r="G411" s="8" t="str">
        <f>IFERROR(__xludf.DUMMYFUNCTION("""COMPUTED_VALUE"""),"2ND")</f>
        <v>2ND</v>
      </c>
      <c r="H411" s="8" t="str">
        <f>IFERROR(__xludf.DUMMYFUNCTION("""COMPUTED_VALUE"""),"BS 36 REGIONAL TX")</f>
        <v>BS 36 REGIONAL TX</v>
      </c>
      <c r="I411" s="9">
        <f>IFERROR(__xludf.DUMMYFUNCTION("""COMPUTED_VALUE"""),44713.0)</f>
        <v>44713</v>
      </c>
      <c r="J411" s="9">
        <f>IFERROR(__xludf.DUMMYFUNCTION("""COMPUTED_VALUE"""),45809.0)</f>
        <v>45809</v>
      </c>
      <c r="K411" s="1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7" t="str">
        <f>IFERROR(__xludf.DUMMYFUNCTION("""COMPUTED_VALUE"""),"Parsley")</f>
        <v>Parsley</v>
      </c>
      <c r="B412" s="8" t="str">
        <f>IFERROR(__xludf.DUMMYFUNCTION("""COMPUTED_VALUE"""),"Carl")</f>
        <v>Carl</v>
      </c>
      <c r="C412" s="8" t="str">
        <f>IFERROR(__xludf.DUMMYFUNCTION("""COMPUTED_VALUE"""),"Hixson")</f>
        <v>Hixson</v>
      </c>
      <c r="D412" s="8" t="str">
        <f>IFERROR(__xludf.DUMMYFUNCTION("""COMPUTED_VALUE"""),"TN")</f>
        <v>TN</v>
      </c>
      <c r="E412" s="8" t="str">
        <f>IFERROR(__xludf.DUMMYFUNCTION("""COMPUTED_VALUE"""),"USA")</f>
        <v>USA</v>
      </c>
      <c r="F412" s="8" t="str">
        <f>IFERROR(__xludf.DUMMYFUNCTION("""COMPUTED_VALUE"""),"Known Pro")</f>
        <v>Known Pro</v>
      </c>
      <c r="G412" s="8"/>
      <c r="H412" s="8" t="str">
        <f>IFERROR(__xludf.DUMMYFUNCTION("""COMPUTED_VALUE"""),"Known Ability")</f>
        <v>Known Ability</v>
      </c>
      <c r="I412" s="9">
        <f>IFERROR(__xludf.DUMMYFUNCTION("""COMPUTED_VALUE"""),36892.0)</f>
        <v>36892</v>
      </c>
      <c r="J412" s="9">
        <f>IFERROR(__xludf.DUMMYFUNCTION("""COMPUTED_VALUE"""),47635.0)</f>
        <v>47635</v>
      </c>
      <c r="K412" s="1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7" t="str">
        <f>IFERROR(__xludf.DUMMYFUNCTION("""COMPUTED_VALUE"""),"Part")</f>
        <v>Part</v>
      </c>
      <c r="B413" s="8" t="str">
        <f>IFERROR(__xludf.DUMMYFUNCTION("""COMPUTED_VALUE"""),"John")</f>
        <v>John</v>
      </c>
      <c r="C413" s="8"/>
      <c r="D413" s="8" t="str">
        <f>IFERROR(__xludf.DUMMYFUNCTION("""COMPUTED_VALUE"""),"UNK")</f>
        <v>UNK</v>
      </c>
      <c r="E413" s="8" t="str">
        <f>IFERROR(__xludf.DUMMYFUNCTION("""COMPUTED_VALUE"""),"Canada")</f>
        <v>Canada</v>
      </c>
      <c r="F413" s="8" t="str">
        <f>IFERROR(__xludf.DUMMYFUNCTION("""COMPUTED_VALUE"""),"NAPDA 2018")</f>
        <v>NAPDA 2018</v>
      </c>
      <c r="G413" s="8" t="str">
        <f>IFERROR(__xludf.DUMMYFUNCTION("""COMPUTED_VALUE"""),"19th")</f>
        <v>19th</v>
      </c>
      <c r="H413" s="8" t="str">
        <f>IFERROR(__xludf.DUMMYFUNCTION("""COMPUTED_VALUE"""),"Known Ability")</f>
        <v>Known Ability</v>
      </c>
      <c r="I413" s="9">
        <f>IFERROR(__xludf.DUMMYFUNCTION("""COMPUTED_VALUE"""),43132.0)</f>
        <v>43132</v>
      </c>
      <c r="J413" s="9">
        <f>IFERROR(__xludf.DUMMYFUNCTION("""COMPUTED_VALUE"""),47635.0)</f>
        <v>47635</v>
      </c>
      <c r="K413" s="1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7" t="str">
        <f>IFERROR(__xludf.DUMMYFUNCTION("""COMPUTED_VALUE"""),"PATTERSON")</f>
        <v>PATTERSON</v>
      </c>
      <c r="B414" s="8" t="str">
        <f>IFERROR(__xludf.DUMMYFUNCTION("""COMPUTED_VALUE"""),"MIKE")</f>
        <v>MIKE</v>
      </c>
      <c r="C414" s="8" t="str">
        <f>IFERROR(__xludf.DUMMYFUNCTION("""COMPUTED_VALUE"""),"AMHERST")</f>
        <v>AMHERST</v>
      </c>
      <c r="D414" s="8" t="str">
        <f>IFERROR(__xludf.DUMMYFUNCTION("""COMPUTED_VALUE"""),"OH")</f>
        <v>OH</v>
      </c>
      <c r="E414" s="8" t="str">
        <f>IFERROR(__xludf.DUMMYFUNCTION("""COMPUTED_VALUE"""),"USA")</f>
        <v>USA</v>
      </c>
      <c r="F414" s="8" t="str">
        <f>IFERROR(__xludf.DUMMYFUNCTION("""COMPUTED_VALUE"""),"MEN 501 DBLS")</f>
        <v>MEN 501 DBLS</v>
      </c>
      <c r="G414" s="8" t="str">
        <f>IFERROR(__xludf.DUMMYFUNCTION("""COMPUTED_VALUE"""),"2")</f>
        <v>2</v>
      </c>
      <c r="H414" s="8" t="str">
        <f>IFERROR(__xludf.DUMMYFUNCTION("""COMPUTED_VALUE"""),"BS 37 OH")</f>
        <v>BS 37 OH</v>
      </c>
      <c r="I414" s="9">
        <f>IFERROR(__xludf.DUMMYFUNCTION("""COMPUTED_VALUE"""),45078.0)</f>
        <v>45078</v>
      </c>
      <c r="J414" s="9">
        <f>IFERROR(__xludf.DUMMYFUNCTION("""COMPUTED_VALUE"""),46174.0)</f>
        <v>46174</v>
      </c>
      <c r="K414" s="1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7" t="str">
        <f>IFERROR(__xludf.DUMMYFUNCTION("""COMPUTED_VALUE"""),"PAULSON")</f>
        <v>PAULSON</v>
      </c>
      <c r="B415" s="8" t="str">
        <f>IFERROR(__xludf.DUMMYFUNCTION("""COMPUTED_VALUE"""),"TANNER")</f>
        <v>TANNER</v>
      </c>
      <c r="C415" s="8" t="str">
        <f>IFERROR(__xludf.DUMMYFUNCTION("""COMPUTED_VALUE"""),"MOSCOW")</f>
        <v>MOSCOW</v>
      </c>
      <c r="D415" s="8" t="str">
        <f>IFERROR(__xludf.DUMMYFUNCTION("""COMPUTED_VALUE"""),"WA")</f>
        <v>WA</v>
      </c>
      <c r="E415" s="8" t="str">
        <f>IFERROR(__xludf.DUMMYFUNCTION("""COMPUTED_VALUE"""),"USA")</f>
        <v>USA</v>
      </c>
      <c r="F415" s="8" t="str">
        <f>IFERROR(__xludf.DUMMYFUNCTION("""COMPUTED_VALUE"""),"MEN SNG CRICKET")</f>
        <v>MEN SNG CRICKET</v>
      </c>
      <c r="G415" s="8" t="str">
        <f>IFERROR(__xludf.DUMMYFUNCTION("""COMPUTED_VALUE"""),"3RD")</f>
        <v>3RD</v>
      </c>
      <c r="H415" s="8" t="str">
        <f>IFERROR(__xludf.DUMMYFUNCTION("""COMPUTED_VALUE"""),"WA REGIONAL BS 38")</f>
        <v>WA REGIONAL BS 38</v>
      </c>
      <c r="I415" s="9">
        <f>IFERROR(__xludf.DUMMYFUNCTION("""COMPUTED_VALUE"""),45444.0)</f>
        <v>45444</v>
      </c>
      <c r="J415" s="9">
        <f>IFERROR(__xludf.DUMMYFUNCTION("""COMPUTED_VALUE"""),46539.0)</f>
        <v>46539</v>
      </c>
      <c r="K415" s="10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7" t="str">
        <f>IFERROR(__xludf.DUMMYFUNCTION("""COMPUTED_VALUE"""),"Payne")</f>
        <v>Payne</v>
      </c>
      <c r="B416" s="8" t="str">
        <f>IFERROR(__xludf.DUMMYFUNCTION("""COMPUTED_VALUE"""),"Tony")</f>
        <v>Tony</v>
      </c>
      <c r="C416" s="8" t="str">
        <f>IFERROR(__xludf.DUMMYFUNCTION("""COMPUTED_VALUE"""),"Cincinnati")</f>
        <v>Cincinnati</v>
      </c>
      <c r="D416" s="8" t="str">
        <f>IFERROR(__xludf.DUMMYFUNCTION("""COMPUTED_VALUE"""),"OH")</f>
        <v>OH</v>
      </c>
      <c r="E416" s="8" t="str">
        <f>IFERROR(__xludf.DUMMYFUNCTION("""COMPUTED_VALUE"""),"USA")</f>
        <v>USA</v>
      </c>
      <c r="F416" s="8" t="str">
        <f>IFERROR(__xludf.DUMMYFUNCTION("""COMPUTED_VALUE"""),"Known Pro")</f>
        <v>Known Pro</v>
      </c>
      <c r="G416" s="8"/>
      <c r="H416" s="8" t="str">
        <f>IFERROR(__xludf.DUMMYFUNCTION("""COMPUTED_VALUE"""),"Known Ability")</f>
        <v>Known Ability</v>
      </c>
      <c r="I416" s="9">
        <f>IFERROR(__xludf.DUMMYFUNCTION("""COMPUTED_VALUE"""),36892.0)</f>
        <v>36892</v>
      </c>
      <c r="J416" s="9">
        <f>IFERROR(__xludf.DUMMYFUNCTION("""COMPUTED_VALUE"""),47635.0)</f>
        <v>47635</v>
      </c>
      <c r="K416" s="10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7" t="str">
        <f>IFERROR(__xludf.DUMMYFUNCTION("""COMPUTED_VALUE"""),"PEREZ")</f>
        <v>PEREZ</v>
      </c>
      <c r="B417" s="8" t="str">
        <f>IFERROR(__xludf.DUMMYFUNCTION("""COMPUTED_VALUE"""),"LYSANDRO")</f>
        <v>LYSANDRO</v>
      </c>
      <c r="C417" s="8"/>
      <c r="D417" s="8" t="str">
        <f>IFERROR(__xludf.DUMMYFUNCTION("""COMPUTED_VALUE"""),"CA")</f>
        <v>CA</v>
      </c>
      <c r="E417" s="8" t="str">
        <f>IFERROR(__xludf.DUMMYFUNCTION("""COMPUTED_VALUE"""),"USA")</f>
        <v>USA</v>
      </c>
      <c r="F417" s="8" t="str">
        <f>IFERROR(__xludf.DUMMYFUNCTION("""COMPUTED_VALUE"""),"PRO 501 DBLS")</f>
        <v>PRO 501 DBLS</v>
      </c>
      <c r="G417" s="8" t="str">
        <f>IFERROR(__xludf.DUMMYFUNCTION("""COMPUTED_VALUE"""),"3")</f>
        <v>3</v>
      </c>
      <c r="H417" s="8" t="str">
        <f>IFERROR(__xludf.DUMMYFUNCTION("""COMPUTED_VALUE"""),"BS 37 WA")</f>
        <v>BS 37 WA</v>
      </c>
      <c r="I417" s="9">
        <f>IFERROR(__xludf.DUMMYFUNCTION("""COMPUTED_VALUE"""),45078.0)</f>
        <v>45078</v>
      </c>
      <c r="J417" s="9">
        <f>IFERROR(__xludf.DUMMYFUNCTION("""COMPUTED_VALUE"""),46174.0)</f>
        <v>46174</v>
      </c>
      <c r="K417" s="10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7" t="str">
        <f>IFERROR(__xludf.DUMMYFUNCTION("""COMPUTED_VALUE"""),"PEREZ")</f>
        <v>PEREZ</v>
      </c>
      <c r="B418" s="8" t="str">
        <f>IFERROR(__xludf.DUMMYFUNCTION("""COMPUTED_VALUE"""),"BRANDON")</f>
        <v>BRANDON</v>
      </c>
      <c r="C418" s="8" t="str">
        <f>IFERROR(__xludf.DUMMYFUNCTION("""COMPUTED_VALUE"""),"LAS VEGAS")</f>
        <v>LAS VEGAS</v>
      </c>
      <c r="D418" s="8" t="str">
        <f>IFERROR(__xludf.DUMMYFUNCTION("""COMPUTED_VALUE"""),"NV")</f>
        <v>NV</v>
      </c>
      <c r="E418" s="8" t="str">
        <f>IFERROR(__xludf.DUMMYFUNCTION("""COMPUTED_VALUE"""),"USA")</f>
        <v>USA</v>
      </c>
      <c r="F418" s="8" t="str">
        <f>IFERROR(__xludf.DUMMYFUNCTION("""COMPUTED_VALUE"""),"MIXED TRPLES 701")</f>
        <v>MIXED TRPLES 701</v>
      </c>
      <c r="G418" s="8" t="str">
        <f>IFERROR(__xludf.DUMMYFUNCTION("""COMPUTED_VALUE"""),"1")</f>
        <v>1</v>
      </c>
      <c r="H418" s="8" t="str">
        <f>IFERROR(__xludf.DUMMYFUNCTION("""COMPUTED_VALUE"""),"AZ REGIONAL BS 38")</f>
        <v>AZ REGIONAL BS 38</v>
      </c>
      <c r="I418" s="9">
        <f>IFERROR(__xludf.DUMMYFUNCTION("""COMPUTED_VALUE"""),45444.0)</f>
        <v>45444</v>
      </c>
      <c r="J418" s="9">
        <f>IFERROR(__xludf.DUMMYFUNCTION("""COMPUTED_VALUE"""),46539.0)</f>
        <v>46539</v>
      </c>
      <c r="K418" s="10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7" t="str">
        <f>IFERROR(__xludf.DUMMYFUNCTION("""COMPUTED_VALUE"""),"PHILLIPS")</f>
        <v>PHILLIPS</v>
      </c>
      <c r="B419" s="8" t="str">
        <f>IFERROR(__xludf.DUMMYFUNCTION("""COMPUTED_VALUE"""),"ERIC")</f>
        <v>ERIC</v>
      </c>
      <c r="C419" s="8" t="str">
        <f>IFERROR(__xludf.DUMMYFUNCTION("""COMPUTED_VALUE"""),"KENOSHA")</f>
        <v>KENOSHA</v>
      </c>
      <c r="D419" s="8" t="str">
        <f>IFERROR(__xludf.DUMMYFUNCTION("""COMPUTED_VALUE"""),"WI")</f>
        <v>WI</v>
      </c>
      <c r="E419" s="8" t="str">
        <f>IFERROR(__xludf.DUMMYFUNCTION("""COMPUTED_VALUE"""),"USA")</f>
        <v>USA</v>
      </c>
      <c r="F419" s="8" t="str">
        <f>IFERROR(__xludf.DUMMYFUNCTION("""COMPUTED_VALUE"""),"TOPGUN NONPRO TRIPLES")</f>
        <v>TOPGUN NONPRO TRIPLES</v>
      </c>
      <c r="G419" s="8" t="str">
        <f>IFERROR(__xludf.DUMMYFUNCTION("""COMPUTED_VALUE"""),"1")</f>
        <v>1</v>
      </c>
      <c r="H419" s="8" t="str">
        <f>IFERROR(__xludf.DUMMYFUNCTION("""COMPUTED_VALUE"""),"BS 37 FINALS")</f>
        <v>BS 37 FINALS</v>
      </c>
      <c r="I419" s="9">
        <f>IFERROR(__xludf.DUMMYFUNCTION("""COMPUTED_VALUE"""),45078.0)</f>
        <v>45078</v>
      </c>
      <c r="J419" s="9">
        <f>IFERROR(__xludf.DUMMYFUNCTION("""COMPUTED_VALUE"""),46174.0)</f>
        <v>46174</v>
      </c>
      <c r="K419" s="10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7" t="str">
        <f>IFERROR(__xludf.DUMMYFUNCTION("""COMPUTED_VALUE"""),"Pilgrim")</f>
        <v>Pilgrim</v>
      </c>
      <c r="B420" s="8" t="str">
        <f>IFERROR(__xludf.DUMMYFUNCTION("""COMPUTED_VALUE"""),"Jon")</f>
        <v>Jon</v>
      </c>
      <c r="C420" s="8"/>
      <c r="D420" s="8"/>
      <c r="E420" s="8"/>
      <c r="F420" s="8" t="str">
        <f>IFERROR(__xludf.DUMMYFUNCTION("""COMPUTED_VALUE"""),"Mixed Triples 701")</f>
        <v>Mixed Triples 701</v>
      </c>
      <c r="G420" s="8" t="str">
        <f>IFERROR(__xludf.DUMMYFUNCTION("""COMPUTED_VALUE"""),"3rd")</f>
        <v>3rd</v>
      </c>
      <c r="H420" s="8" t="str">
        <f>IFERROR(__xludf.DUMMYFUNCTION("""COMPUTED_VALUE"""),"BS 38 Finals")</f>
        <v>BS 38 Finals</v>
      </c>
      <c r="I420" s="9">
        <f>IFERROR(__xludf.DUMMYFUNCTION("""COMPUTED_VALUE"""),45444.0)</f>
        <v>45444</v>
      </c>
      <c r="J420" s="9">
        <f>IFERROR(__xludf.DUMMYFUNCTION("""COMPUTED_VALUE"""),46539.0)</f>
        <v>46539</v>
      </c>
      <c r="K420" s="10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7" t="str">
        <f>IFERROR(__xludf.DUMMYFUNCTION("""COMPUTED_VALUE"""),"Piloczewski")</f>
        <v>Piloczewski</v>
      </c>
      <c r="B421" s="8" t="str">
        <f>IFERROR(__xludf.DUMMYFUNCTION("""COMPUTED_VALUE"""),"Michael")</f>
        <v>Michael</v>
      </c>
      <c r="C421" s="8" t="str">
        <f>IFERROR(__xludf.DUMMYFUNCTION("""COMPUTED_VALUE"""),"Milwaukee")</f>
        <v>Milwaukee</v>
      </c>
      <c r="D421" s="8" t="str">
        <f>IFERROR(__xludf.DUMMYFUNCTION("""COMPUTED_VALUE"""),"WI")</f>
        <v>WI</v>
      </c>
      <c r="E421" s="8" t="str">
        <f>IFERROR(__xludf.DUMMYFUNCTION("""COMPUTED_VALUE"""),"USA")</f>
        <v>USA</v>
      </c>
      <c r="F421" s="8" t="str">
        <f>IFERROR(__xludf.DUMMYFUNCTION("""COMPUTED_VALUE"""),"Pro AA Luck")</f>
        <v>Pro AA Luck</v>
      </c>
      <c r="G421" s="8" t="str">
        <f>IFERROR(__xludf.DUMMYFUNCTION("""COMPUTED_VALUE"""),"4th")</f>
        <v>4th</v>
      </c>
      <c r="H421" s="8" t="str">
        <f>IFERROR(__xludf.DUMMYFUNCTION("""COMPUTED_VALUE"""),"BullShooter 34 Finals")</f>
        <v>BullShooter 34 Finals</v>
      </c>
      <c r="I421" s="9">
        <f>IFERROR(__xludf.DUMMYFUNCTION("""COMPUTED_VALUE"""),43617.0)</f>
        <v>43617</v>
      </c>
      <c r="J421" s="9">
        <f>IFERROR(__xludf.DUMMYFUNCTION("""COMPUTED_VALUE"""),45809.0)</f>
        <v>45809</v>
      </c>
      <c r="K421" s="10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7" t="str">
        <f>IFERROR(__xludf.DUMMYFUNCTION("""COMPUTED_VALUE"""),"PINT")</f>
        <v>PINT</v>
      </c>
      <c r="B422" s="8" t="str">
        <f>IFERROR(__xludf.DUMMYFUNCTION("""COMPUTED_VALUE"""),"CHAD")</f>
        <v>CHAD</v>
      </c>
      <c r="C422" s="8" t="str">
        <f>IFERROR(__xludf.DUMMYFUNCTION("""COMPUTED_VALUE"""),"PITTSBURGH")</f>
        <v>PITTSBURGH</v>
      </c>
      <c r="D422" s="8" t="str">
        <f>IFERROR(__xludf.DUMMYFUNCTION("""COMPUTED_VALUE"""),"PA")</f>
        <v>PA</v>
      </c>
      <c r="E422" s="8" t="str">
        <f>IFERROR(__xludf.DUMMYFUNCTION("""COMPUTED_VALUE"""),"USA")</f>
        <v>USA</v>
      </c>
      <c r="F422" s="8" t="str">
        <f>IFERROR(__xludf.DUMMYFUNCTION("""COMPUTED_VALUE"""),"MENS DBLS 501")</f>
        <v>MENS DBLS 501</v>
      </c>
      <c r="G422" s="8" t="str">
        <f>IFERROR(__xludf.DUMMYFUNCTION("""COMPUTED_VALUE"""),"1ST")</f>
        <v>1ST</v>
      </c>
      <c r="H422" s="8" t="str">
        <f>IFERROR(__xludf.DUMMYFUNCTION("""COMPUTED_VALUE"""),"BS 36 REGIONAL PA")</f>
        <v>BS 36 REGIONAL PA</v>
      </c>
      <c r="I422" s="9">
        <f>IFERROR(__xludf.DUMMYFUNCTION("""COMPUTED_VALUE"""),44713.0)</f>
        <v>44713</v>
      </c>
      <c r="J422" s="9">
        <f>IFERROR(__xludf.DUMMYFUNCTION("""COMPUTED_VALUE"""),45809.0)</f>
        <v>45809</v>
      </c>
      <c r="K422" s="10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7" t="str">
        <f>IFERROR(__xludf.DUMMYFUNCTION("""COMPUTED_VALUE"""),"PITTS")</f>
        <v>PITTS</v>
      </c>
      <c r="B423" s="8" t="str">
        <f>IFERROR(__xludf.DUMMYFUNCTION("""COMPUTED_VALUE"""),"CHARLES")</f>
        <v>CHARLES</v>
      </c>
      <c r="C423" s="8" t="str">
        <f>IFERROR(__xludf.DUMMYFUNCTION("""COMPUTED_VALUE"""),"HUBBARD")</f>
        <v>HUBBARD</v>
      </c>
      <c r="D423" s="8" t="str">
        <f>IFERROR(__xludf.DUMMYFUNCTION("""COMPUTED_VALUE"""),"OH")</f>
        <v>OH</v>
      </c>
      <c r="E423" s="8" t="str">
        <f>IFERROR(__xludf.DUMMYFUNCTION("""COMPUTED_VALUE"""),"USA")</f>
        <v>USA</v>
      </c>
      <c r="F423" s="8" t="str">
        <f>IFERROR(__xludf.DUMMYFUNCTION("""COMPUTED_VALUE"""),"MENS SINGLES CRICKET")</f>
        <v>MENS SINGLES CRICKET</v>
      </c>
      <c r="G423" s="8" t="str">
        <f>IFERROR(__xludf.DUMMYFUNCTION("""COMPUTED_VALUE"""),"3RD")</f>
        <v>3RD</v>
      </c>
      <c r="H423" s="8" t="str">
        <f>IFERROR(__xludf.DUMMYFUNCTION("""COMPUTED_VALUE"""),"BS 36 REGIONAL PA")</f>
        <v>BS 36 REGIONAL PA</v>
      </c>
      <c r="I423" s="9">
        <f>IFERROR(__xludf.DUMMYFUNCTION("""COMPUTED_VALUE"""),44713.0)</f>
        <v>44713</v>
      </c>
      <c r="J423" s="9">
        <f>IFERROR(__xludf.DUMMYFUNCTION("""COMPUTED_VALUE"""),45809.0)</f>
        <v>45809</v>
      </c>
      <c r="K423" s="10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7" t="str">
        <f>IFERROR(__xludf.DUMMYFUNCTION("""COMPUTED_VALUE"""),"POLLOCK")</f>
        <v>POLLOCK</v>
      </c>
      <c r="B424" s="8" t="str">
        <f>IFERROR(__xludf.DUMMYFUNCTION("""COMPUTED_VALUE"""),"ANDREW")</f>
        <v>ANDREW</v>
      </c>
      <c r="C424" s="8" t="str">
        <f>IFERROR(__xludf.DUMMYFUNCTION("""COMPUTED_VALUE"""),"TUSCOLA")</f>
        <v>TUSCOLA</v>
      </c>
      <c r="D424" s="8" t="str">
        <f>IFERROR(__xludf.DUMMYFUNCTION("""COMPUTED_VALUE"""),"IL")</f>
        <v>IL</v>
      </c>
      <c r="E424" s="8" t="str">
        <f>IFERROR(__xludf.DUMMYFUNCTION("""COMPUTED_VALUE"""),"USA")</f>
        <v>USA</v>
      </c>
      <c r="F424" s="8" t="str">
        <f>IFERROR(__xludf.DUMMYFUNCTION("""COMPUTED_VALUE"""),"MEN SINGLES")</f>
        <v>MEN SINGLES</v>
      </c>
      <c r="G424" s="8" t="str">
        <f>IFERROR(__xludf.DUMMYFUNCTION("""COMPUTED_VALUE"""),"2")</f>
        <v>2</v>
      </c>
      <c r="H424" s="8" t="str">
        <f>IFERROR(__xludf.DUMMYFUNCTION("""COMPUTED_VALUE"""),"BS 37 IN")</f>
        <v>BS 37 IN</v>
      </c>
      <c r="I424" s="9">
        <f>IFERROR(__xludf.DUMMYFUNCTION("""COMPUTED_VALUE"""),45078.0)</f>
        <v>45078</v>
      </c>
      <c r="J424" s="9">
        <f>IFERROR(__xludf.DUMMYFUNCTION("""COMPUTED_VALUE"""),46174.0)</f>
        <v>46174</v>
      </c>
      <c r="K424" s="10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7" t="str">
        <f>IFERROR(__xludf.DUMMYFUNCTION("""COMPUTED_VALUE"""),"Polvinen")</f>
        <v>Polvinen</v>
      </c>
      <c r="B425" s="8" t="str">
        <f>IFERROR(__xludf.DUMMYFUNCTION("""COMPUTED_VALUE"""),"J. P.")</f>
        <v>J. P.</v>
      </c>
      <c r="C425" s="8" t="str">
        <f>IFERROR(__xludf.DUMMYFUNCTION("""COMPUTED_VALUE"""),"Riverdale")</f>
        <v>Riverdale</v>
      </c>
      <c r="D425" s="8" t="str">
        <f>IFERROR(__xludf.DUMMYFUNCTION("""COMPUTED_VALUE"""),"GA")</f>
        <v>GA</v>
      </c>
      <c r="E425" s="8" t="str">
        <f>IFERROR(__xludf.DUMMYFUNCTION("""COMPUTED_VALUE"""),"USA")</f>
        <v>USA</v>
      </c>
      <c r="F425" s="8" t="str">
        <f>IFERROR(__xludf.DUMMYFUNCTION("""COMPUTED_VALUE"""),"Known Pro")</f>
        <v>Known Pro</v>
      </c>
      <c r="G425" s="8"/>
      <c r="H425" s="8" t="str">
        <f>IFERROR(__xludf.DUMMYFUNCTION("""COMPUTED_VALUE"""),"Known Ability")</f>
        <v>Known Ability</v>
      </c>
      <c r="I425" s="9">
        <f>IFERROR(__xludf.DUMMYFUNCTION("""COMPUTED_VALUE"""),36892.0)</f>
        <v>36892</v>
      </c>
      <c r="J425" s="9">
        <f>IFERROR(__xludf.DUMMYFUNCTION("""COMPUTED_VALUE"""),47635.0)</f>
        <v>47635</v>
      </c>
      <c r="K425" s="10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7" t="str">
        <f>IFERROR(__xludf.DUMMYFUNCTION("""COMPUTED_VALUE"""),"Potter")</f>
        <v>Potter</v>
      </c>
      <c r="B426" s="8" t="str">
        <f>IFERROR(__xludf.DUMMYFUNCTION("""COMPUTED_VALUE"""),"Mark")</f>
        <v>Mark</v>
      </c>
      <c r="C426" s="8" t="str">
        <f>IFERROR(__xludf.DUMMYFUNCTION("""COMPUTED_VALUE"""),"Buffalo")</f>
        <v>Buffalo</v>
      </c>
      <c r="D426" s="8" t="str">
        <f>IFERROR(__xludf.DUMMYFUNCTION("""COMPUTED_VALUE"""),"NY")</f>
        <v>NY</v>
      </c>
      <c r="E426" s="8" t="str">
        <f>IFERROR(__xludf.DUMMYFUNCTION("""COMPUTED_VALUE"""),"USA")</f>
        <v>USA</v>
      </c>
      <c r="F426" s="8" t="str">
        <f>IFERROR(__xludf.DUMMYFUNCTION("""COMPUTED_VALUE"""),"Known Pro")</f>
        <v>Known Pro</v>
      </c>
      <c r="G426" s="8"/>
      <c r="H426" s="8" t="str">
        <f>IFERROR(__xludf.DUMMYFUNCTION("""COMPUTED_VALUE"""),"Known Ability")</f>
        <v>Known Ability</v>
      </c>
      <c r="I426" s="9">
        <f>IFERROR(__xludf.DUMMYFUNCTION("""COMPUTED_VALUE"""),36892.0)</f>
        <v>36892</v>
      </c>
      <c r="J426" s="9">
        <f>IFERROR(__xludf.DUMMYFUNCTION("""COMPUTED_VALUE"""),47635.0)</f>
        <v>47635</v>
      </c>
      <c r="K426" s="10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7" t="str">
        <f>IFERROR(__xludf.DUMMYFUNCTION("""COMPUTED_VALUE"""),"POWERS")</f>
        <v>POWERS</v>
      </c>
      <c r="B427" s="8" t="str">
        <f>IFERROR(__xludf.DUMMYFUNCTION("""COMPUTED_VALUE"""),"CARL")</f>
        <v>CARL</v>
      </c>
      <c r="C427" s="8" t="str">
        <f>IFERROR(__xludf.DUMMYFUNCTION("""COMPUTED_VALUE"""),"TAMPA")</f>
        <v>TAMPA</v>
      </c>
      <c r="D427" s="8" t="str">
        <f>IFERROR(__xludf.DUMMYFUNCTION("""COMPUTED_VALUE"""),"FL")</f>
        <v>FL</v>
      </c>
      <c r="E427" s="8" t="str">
        <f>IFERROR(__xludf.DUMMYFUNCTION("""COMPUTED_VALUE"""),"USA")</f>
        <v>USA</v>
      </c>
      <c r="F427" s="8" t="str">
        <f>IFERROR(__xludf.DUMMYFUNCTION("""COMPUTED_VALUE"""),"MENS DBLS CRICKET")</f>
        <v>MENS DBLS CRICKET</v>
      </c>
      <c r="G427" s="8" t="str">
        <f>IFERROR(__xludf.DUMMYFUNCTION("""COMPUTED_VALUE"""),"2ND")</f>
        <v>2ND</v>
      </c>
      <c r="H427" s="8" t="str">
        <f>IFERROR(__xludf.DUMMYFUNCTION("""COMPUTED_VALUE"""),"BS 36 REGIONAL FL")</f>
        <v>BS 36 REGIONAL FL</v>
      </c>
      <c r="I427" s="9">
        <f>IFERROR(__xludf.DUMMYFUNCTION("""COMPUTED_VALUE"""),44713.0)</f>
        <v>44713</v>
      </c>
      <c r="J427" s="9">
        <f>IFERROR(__xludf.DUMMYFUNCTION("""COMPUTED_VALUE"""),45809.0)</f>
        <v>45809</v>
      </c>
      <c r="K427" s="10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7" t="str">
        <f>IFERROR(__xludf.DUMMYFUNCTION("""COMPUTED_VALUE"""),"Prewitt")</f>
        <v>Prewitt</v>
      </c>
      <c r="B428" s="8" t="str">
        <f>IFERROR(__xludf.DUMMYFUNCTION("""COMPUTED_VALUE"""),"Dylan")</f>
        <v>Dylan</v>
      </c>
      <c r="C428" s="8"/>
      <c r="D428" s="8"/>
      <c r="E428" s="8"/>
      <c r="F428" s="8" t="str">
        <f>IFERROR(__xludf.DUMMYFUNCTION("""COMPUTED_VALUE"""),"Men 501 Singles")</f>
        <v>Men 501 Singles</v>
      </c>
      <c r="G428" s="8" t="str">
        <f>IFERROR(__xludf.DUMMYFUNCTION("""COMPUTED_VALUE"""),"3rd")</f>
        <v>3rd</v>
      </c>
      <c r="H428" s="8" t="str">
        <f>IFERROR(__xludf.DUMMYFUNCTION("""COMPUTED_VALUE"""),"BS 38 Finals")</f>
        <v>BS 38 Finals</v>
      </c>
      <c r="I428" s="9">
        <f>IFERROR(__xludf.DUMMYFUNCTION("""COMPUTED_VALUE"""),45444.0)</f>
        <v>45444</v>
      </c>
      <c r="J428" s="9">
        <f>IFERROR(__xludf.DUMMYFUNCTION("""COMPUTED_VALUE"""),46539.0)</f>
        <v>46539</v>
      </c>
      <c r="K428" s="10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7" t="str">
        <f>IFERROR(__xludf.DUMMYFUNCTION("""COMPUTED_VALUE"""),"PRICE")</f>
        <v>PRICE</v>
      </c>
      <c r="B429" s="8" t="str">
        <f>IFERROR(__xludf.DUMMYFUNCTION("""COMPUTED_VALUE"""),"DAVID")</f>
        <v>DAVID</v>
      </c>
      <c r="C429" s="8" t="str">
        <f>IFERROR(__xludf.DUMMYFUNCTION("""COMPUTED_VALUE"""),"CASEYVILLE")</f>
        <v>CASEYVILLE</v>
      </c>
      <c r="D429" s="8" t="str">
        <f>IFERROR(__xludf.DUMMYFUNCTION("""COMPUTED_VALUE"""),"IL")</f>
        <v>IL</v>
      </c>
      <c r="E429" s="8" t="str">
        <f>IFERROR(__xludf.DUMMYFUNCTION("""COMPUTED_VALUE"""),"USA")</f>
        <v>USA</v>
      </c>
      <c r="F429" s="8" t="str">
        <f>IFERROR(__xludf.DUMMYFUNCTION("""COMPUTED_VALUE"""),"MEN DBLS 501")</f>
        <v>MEN DBLS 501</v>
      </c>
      <c r="G429" s="8" t="str">
        <f>IFERROR(__xludf.DUMMYFUNCTION("""COMPUTED_VALUE"""),"3RD")</f>
        <v>3RD</v>
      </c>
      <c r="H429" s="8" t="str">
        <f>IFERROR(__xludf.DUMMYFUNCTION("""COMPUTED_VALUE"""),"NE REGIONAL BS 38")</f>
        <v>NE REGIONAL BS 38</v>
      </c>
      <c r="I429" s="9">
        <f>IFERROR(__xludf.DUMMYFUNCTION("""COMPUTED_VALUE"""),45444.0)</f>
        <v>45444</v>
      </c>
      <c r="J429" s="9">
        <f>IFERROR(__xludf.DUMMYFUNCTION("""COMPUTED_VALUE"""),46539.0)</f>
        <v>46539</v>
      </c>
      <c r="K429" s="10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7" t="str">
        <f>IFERROR(__xludf.DUMMYFUNCTION("""COMPUTED_VALUE"""),"Pritts")</f>
        <v>Pritts</v>
      </c>
      <c r="B430" s="8" t="str">
        <f>IFERROR(__xludf.DUMMYFUNCTION("""COMPUTED_VALUE"""),"Brandon")</f>
        <v>Brandon</v>
      </c>
      <c r="C430" s="8"/>
      <c r="D430" s="8"/>
      <c r="E430" s="8"/>
      <c r="F430" s="8" t="str">
        <f>IFERROR(__xludf.DUMMYFUNCTION("""COMPUTED_VALUE"""),"Mens 501 Dbls")</f>
        <v>Mens 501 Dbls</v>
      </c>
      <c r="G430" s="8" t="str">
        <f>IFERROR(__xludf.DUMMYFUNCTION("""COMPUTED_VALUE"""),"1st")</f>
        <v>1st</v>
      </c>
      <c r="H430" s="8" t="str">
        <f>IFERROR(__xludf.DUMMYFUNCTION("""COMPUTED_VALUE"""),"BS 38 Finals")</f>
        <v>BS 38 Finals</v>
      </c>
      <c r="I430" s="9">
        <f>IFERROR(__xludf.DUMMYFUNCTION("""COMPUTED_VALUE"""),45444.0)</f>
        <v>45444</v>
      </c>
      <c r="J430" s="9">
        <f>IFERROR(__xludf.DUMMYFUNCTION("""COMPUTED_VALUE"""),46539.0)</f>
        <v>46539</v>
      </c>
      <c r="K430" s="10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7" t="str">
        <f>IFERROR(__xludf.DUMMYFUNCTION("""COMPUTED_VALUE"""),"PROSSER")</f>
        <v>PROSSER</v>
      </c>
      <c r="B431" s="8" t="str">
        <f>IFERROR(__xludf.DUMMYFUNCTION("""COMPUTED_VALUE"""),"JASON")</f>
        <v>JASON</v>
      </c>
      <c r="C431" s="8" t="str">
        <f>IFERROR(__xludf.DUMMYFUNCTION("""COMPUTED_VALUE"""),"BARBERTON")</f>
        <v>BARBERTON</v>
      </c>
      <c r="D431" s="8" t="str">
        <f>IFERROR(__xludf.DUMMYFUNCTION("""COMPUTED_VALUE"""),"OH")</f>
        <v>OH</v>
      </c>
      <c r="E431" s="8" t="str">
        <f>IFERROR(__xludf.DUMMYFUNCTION("""COMPUTED_VALUE"""),"USA")</f>
        <v>USA</v>
      </c>
      <c r="F431" s="8" t="str">
        <f>IFERROR(__xludf.DUMMYFUNCTION("""COMPUTED_VALUE"""),"MEN 501 DBLS")</f>
        <v>MEN 501 DBLS</v>
      </c>
      <c r="G431" s="8" t="str">
        <f>IFERROR(__xludf.DUMMYFUNCTION("""COMPUTED_VALUE"""),"2")</f>
        <v>2</v>
      </c>
      <c r="H431" s="8" t="str">
        <f>IFERROR(__xludf.DUMMYFUNCTION("""COMPUTED_VALUE"""),"BS 37 NY")</f>
        <v>BS 37 NY</v>
      </c>
      <c r="I431" s="9">
        <f>IFERROR(__xludf.DUMMYFUNCTION("""COMPUTED_VALUE"""),45078.0)</f>
        <v>45078</v>
      </c>
      <c r="J431" s="9">
        <f>IFERROR(__xludf.DUMMYFUNCTION("""COMPUTED_VALUE"""),46174.0)</f>
        <v>46174</v>
      </c>
      <c r="K431" s="10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7" t="str">
        <f>IFERROR(__xludf.DUMMYFUNCTION("""COMPUTED_VALUE"""),"PRUESS")</f>
        <v>PRUESS</v>
      </c>
      <c r="B432" s="8" t="str">
        <f>IFERROR(__xludf.DUMMYFUNCTION("""COMPUTED_VALUE"""),"ERIC")</f>
        <v>ERIC</v>
      </c>
      <c r="C432" s="8" t="str">
        <f>IFERROR(__xludf.DUMMYFUNCTION("""COMPUTED_VALUE"""),"CEDAR FALLS")</f>
        <v>CEDAR FALLS</v>
      </c>
      <c r="D432" s="8" t="str">
        <f>IFERROR(__xludf.DUMMYFUNCTION("""COMPUTED_VALUE"""),"IA")</f>
        <v>IA</v>
      </c>
      <c r="E432" s="8" t="str">
        <f>IFERROR(__xludf.DUMMYFUNCTION("""COMPUTED_VALUE"""),"USA")</f>
        <v>USA</v>
      </c>
      <c r="F432" s="8" t="str">
        <f>IFERROR(__xludf.DUMMYFUNCTION("""COMPUTED_VALUE"""),"MEN CRICKET DBLS")</f>
        <v>MEN CRICKET DBLS</v>
      </c>
      <c r="G432" s="8" t="str">
        <f>IFERROR(__xludf.DUMMYFUNCTION("""COMPUTED_VALUE"""),"1")</f>
        <v>1</v>
      </c>
      <c r="H432" s="8" t="str">
        <f>IFERROR(__xludf.DUMMYFUNCTION("""COMPUTED_VALUE"""),"BS 37 NE")</f>
        <v>BS 37 NE</v>
      </c>
      <c r="I432" s="9">
        <f>IFERROR(__xludf.DUMMYFUNCTION("""COMPUTED_VALUE"""),45078.0)</f>
        <v>45078</v>
      </c>
      <c r="J432" s="9">
        <f>IFERROR(__xludf.DUMMYFUNCTION("""COMPUTED_VALUE"""),46174.0)</f>
        <v>46174</v>
      </c>
      <c r="K432" s="10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11" t="str">
        <f>IFERROR(__xludf.DUMMYFUNCTION("""COMPUTED_VALUE"""),"PRYOR")</f>
        <v>PRYOR</v>
      </c>
      <c r="B433" s="12" t="str">
        <f>IFERROR(__xludf.DUMMYFUNCTION("""COMPUTED_VALUE"""),"RODNEY")</f>
        <v>RODNEY</v>
      </c>
      <c r="C433" s="12"/>
      <c r="D433" s="12" t="str">
        <f>IFERROR(__xludf.DUMMYFUNCTION("""COMPUTED_VALUE"""),"FL")</f>
        <v>FL</v>
      </c>
      <c r="E433" s="12" t="str">
        <f>IFERROR(__xludf.DUMMYFUNCTION("""COMPUTED_VALUE"""),"USA")</f>
        <v>USA</v>
      </c>
      <c r="F433" s="12" t="str">
        <f>IFERROR(__xludf.DUMMYFUNCTION("""COMPUTED_VALUE"""),"MEN 501 DBLS")</f>
        <v>MEN 501 DBLS</v>
      </c>
      <c r="G433" s="12" t="str">
        <f>IFERROR(__xludf.DUMMYFUNCTION("""COMPUTED_VALUE"""),"2")</f>
        <v>2</v>
      </c>
      <c r="H433" s="12" t="str">
        <f>IFERROR(__xludf.DUMMYFUNCTION("""COMPUTED_VALUE"""),"BS 37 FL")</f>
        <v>BS 37 FL</v>
      </c>
      <c r="I433" s="14">
        <f>IFERROR(__xludf.DUMMYFUNCTION("""COMPUTED_VALUE"""),45078.0)</f>
        <v>45078</v>
      </c>
      <c r="J433" s="14">
        <f>IFERROR(__xludf.DUMMYFUNCTION("""COMPUTED_VALUE"""),46174.0)</f>
        <v>46174</v>
      </c>
      <c r="K433" s="10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7" t="str">
        <f>IFERROR(__xludf.DUMMYFUNCTION("""COMPUTED_VALUE"""),"PUENTE")</f>
        <v>PUENTE</v>
      </c>
      <c r="B434" s="8" t="str">
        <f>IFERROR(__xludf.DUMMYFUNCTION("""COMPUTED_VALUE"""),"DENNIS")</f>
        <v>DENNIS</v>
      </c>
      <c r="C434" s="8" t="str">
        <f>IFERROR(__xludf.DUMMYFUNCTION("""COMPUTED_VALUE"""),"SAN ANTONIO")</f>
        <v>SAN ANTONIO</v>
      </c>
      <c r="D434" s="8" t="str">
        <f>IFERROR(__xludf.DUMMYFUNCTION("""COMPUTED_VALUE"""),"TX")</f>
        <v>TX</v>
      </c>
      <c r="E434" s="8" t="str">
        <f>IFERROR(__xludf.DUMMYFUNCTION("""COMPUTED_VALUE"""),"USA")</f>
        <v>USA</v>
      </c>
      <c r="F434" s="8" t="str">
        <f>IFERROR(__xludf.DUMMYFUNCTION("""COMPUTED_VALUE"""),"MENS DBLS CRICKET")</f>
        <v>MENS DBLS CRICKET</v>
      </c>
      <c r="G434" s="8" t="str">
        <f>IFERROR(__xludf.DUMMYFUNCTION("""COMPUTED_VALUE"""),"2ND")</f>
        <v>2ND</v>
      </c>
      <c r="H434" s="8" t="str">
        <f>IFERROR(__xludf.DUMMYFUNCTION("""COMPUTED_VALUE"""),"BS 36 REGIONAL TX")</f>
        <v>BS 36 REGIONAL TX</v>
      </c>
      <c r="I434" s="9">
        <f>IFERROR(__xludf.DUMMYFUNCTION("""COMPUTED_VALUE"""),44713.0)</f>
        <v>44713</v>
      </c>
      <c r="J434" s="9">
        <f>IFERROR(__xludf.DUMMYFUNCTION("""COMPUTED_VALUE"""),45809.0)</f>
        <v>45809</v>
      </c>
      <c r="K434" s="10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7" t="str">
        <f>IFERROR(__xludf.DUMMYFUNCTION("""COMPUTED_VALUE"""),"PULEO")</f>
        <v>PULEO</v>
      </c>
      <c r="B435" s="8" t="str">
        <f>IFERROR(__xludf.DUMMYFUNCTION("""COMPUTED_VALUE"""),"CHARLES")</f>
        <v>CHARLES</v>
      </c>
      <c r="C435" s="8" t="str">
        <f>IFERROR(__xludf.DUMMYFUNCTION("""COMPUTED_VALUE"""),"MESA")</f>
        <v>MESA</v>
      </c>
      <c r="D435" s="8" t="str">
        <f>IFERROR(__xludf.DUMMYFUNCTION("""COMPUTED_VALUE"""),"AZ")</f>
        <v>AZ</v>
      </c>
      <c r="E435" s="8" t="str">
        <f>IFERROR(__xludf.DUMMYFUNCTION("""COMPUTED_VALUE"""),"USA")</f>
        <v>USA</v>
      </c>
      <c r="F435" s="8" t="str">
        <f>IFERROR(__xludf.DUMMYFUNCTION("""COMPUTED_VALUE"""),"MENS PRO DBLS 501")</f>
        <v>MENS PRO DBLS 501</v>
      </c>
      <c r="G435" s="8" t="str">
        <f>IFERROR(__xludf.DUMMYFUNCTION("""COMPUTED_VALUE"""),"2ND")</f>
        <v>2ND</v>
      </c>
      <c r="H435" s="8" t="str">
        <f>IFERROR(__xludf.DUMMYFUNCTION("""COMPUTED_VALUE"""),"BS 36 REGIONAL AZ")</f>
        <v>BS 36 REGIONAL AZ</v>
      </c>
      <c r="I435" s="9">
        <f>IFERROR(__xludf.DUMMYFUNCTION("""COMPUTED_VALUE"""),44713.0)</f>
        <v>44713</v>
      </c>
      <c r="J435" s="9">
        <f>IFERROR(__xludf.DUMMYFUNCTION("""COMPUTED_VALUE"""),45809.0)</f>
        <v>45809</v>
      </c>
      <c r="K435" s="10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7" t="str">
        <f>IFERROR(__xludf.DUMMYFUNCTION("""COMPUTED_VALUE"""),"PUNDT")</f>
        <v>PUNDT</v>
      </c>
      <c r="B436" s="8" t="str">
        <f>IFERROR(__xludf.DUMMYFUNCTION("""COMPUTED_VALUE"""),"DOMINIK")</f>
        <v>DOMINIK</v>
      </c>
      <c r="C436" s="8" t="str">
        <f>IFERROR(__xludf.DUMMYFUNCTION("""COMPUTED_VALUE"""),"LEAGUE CITY")</f>
        <v>LEAGUE CITY</v>
      </c>
      <c r="D436" s="8" t="str">
        <f>IFERROR(__xludf.DUMMYFUNCTION("""COMPUTED_VALUE"""),"TX")</f>
        <v>TX</v>
      </c>
      <c r="E436" s="8" t="str">
        <f>IFERROR(__xludf.DUMMYFUNCTION("""COMPUTED_VALUE"""),"USA")</f>
        <v>USA</v>
      </c>
      <c r="F436" s="8" t="str">
        <f>IFERROR(__xludf.DUMMYFUNCTION("""COMPUTED_VALUE"""),"MEN SINGLES")</f>
        <v>MEN SINGLES</v>
      </c>
      <c r="G436" s="8" t="str">
        <f>IFERROR(__xludf.DUMMYFUNCTION("""COMPUTED_VALUE"""),"3")</f>
        <v>3</v>
      </c>
      <c r="H436" s="8" t="str">
        <f>IFERROR(__xludf.DUMMYFUNCTION("""COMPUTED_VALUE"""),"BS 37 TX")</f>
        <v>BS 37 TX</v>
      </c>
      <c r="I436" s="9">
        <f>IFERROR(__xludf.DUMMYFUNCTION("""COMPUTED_VALUE"""),45078.0)</f>
        <v>45078</v>
      </c>
      <c r="J436" s="9">
        <f>IFERROR(__xludf.DUMMYFUNCTION("""COMPUTED_VALUE"""),46174.0)</f>
        <v>46174</v>
      </c>
      <c r="K436" s="10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7" t="str">
        <f>IFERROR(__xludf.DUMMYFUNCTION("""COMPUTED_VALUE"""),"RAMIREZ")</f>
        <v>RAMIREZ</v>
      </c>
      <c r="B437" s="8" t="str">
        <f>IFERROR(__xludf.DUMMYFUNCTION("""COMPUTED_VALUE"""),"GARY")</f>
        <v>GARY</v>
      </c>
      <c r="C437" s="8" t="str">
        <f>IFERROR(__xludf.DUMMYFUNCTION("""COMPUTED_VALUE"""),"LAS VEGAS")</f>
        <v>LAS VEGAS</v>
      </c>
      <c r="D437" s="8" t="str">
        <f>IFERROR(__xludf.DUMMYFUNCTION("""COMPUTED_VALUE"""),"NV")</f>
        <v>NV</v>
      </c>
      <c r="E437" s="8" t="str">
        <f>IFERROR(__xludf.DUMMYFUNCTION("""COMPUTED_VALUE"""),"USA")</f>
        <v>USA</v>
      </c>
      <c r="F437" s="8" t="str">
        <f>IFERROR(__xludf.DUMMYFUNCTION("""COMPUTED_VALUE"""),"PRO CRICK DBLS")</f>
        <v>PRO CRICK DBLS</v>
      </c>
      <c r="G437" s="8" t="str">
        <f>IFERROR(__xludf.DUMMYFUNCTION("""COMPUTED_VALUE"""),"1")</f>
        <v>1</v>
      </c>
      <c r="H437" s="8" t="str">
        <f>IFERROR(__xludf.DUMMYFUNCTION("""COMPUTED_VALUE"""),"BS 37 CA")</f>
        <v>BS 37 CA</v>
      </c>
      <c r="I437" s="9">
        <f>IFERROR(__xludf.DUMMYFUNCTION("""COMPUTED_VALUE"""),45078.0)</f>
        <v>45078</v>
      </c>
      <c r="J437" s="9">
        <f>IFERROR(__xludf.DUMMYFUNCTION("""COMPUTED_VALUE"""),46174.0)</f>
        <v>46174</v>
      </c>
      <c r="K437" s="10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7" t="str">
        <f>IFERROR(__xludf.DUMMYFUNCTION("""COMPUTED_VALUE"""),"RAYE")</f>
        <v>RAYE</v>
      </c>
      <c r="B438" s="8" t="str">
        <f>IFERROR(__xludf.DUMMYFUNCTION("""COMPUTED_VALUE"""),"SCOTT")</f>
        <v>SCOTT</v>
      </c>
      <c r="C438" s="8" t="str">
        <f>IFERROR(__xludf.DUMMYFUNCTION("""COMPUTED_VALUE"""),"VALPARAISO")</f>
        <v>VALPARAISO</v>
      </c>
      <c r="D438" s="8" t="str">
        <f>IFERROR(__xludf.DUMMYFUNCTION("""COMPUTED_VALUE"""),"IN")</f>
        <v>IN</v>
      </c>
      <c r="E438" s="8" t="str">
        <f>IFERROR(__xludf.DUMMYFUNCTION("""COMPUTED_VALUE"""),"USA")</f>
        <v>USA</v>
      </c>
      <c r="F438" s="8" t="str">
        <f>IFERROR(__xludf.DUMMYFUNCTION("""COMPUTED_VALUE"""),"MENS DBLS 501")</f>
        <v>MENS DBLS 501</v>
      </c>
      <c r="G438" s="8" t="str">
        <f>IFERROR(__xludf.DUMMYFUNCTION("""COMPUTED_VALUE"""),"2ND")</f>
        <v>2ND</v>
      </c>
      <c r="H438" s="8" t="str">
        <f>IFERROR(__xludf.DUMMYFUNCTION("""COMPUTED_VALUE"""),"BS 36 REGIONAL IN")</f>
        <v>BS 36 REGIONAL IN</v>
      </c>
      <c r="I438" s="9">
        <f>IFERROR(__xludf.DUMMYFUNCTION("""COMPUTED_VALUE"""),44713.0)</f>
        <v>44713</v>
      </c>
      <c r="J438" s="9">
        <f>IFERROR(__xludf.DUMMYFUNCTION("""COMPUTED_VALUE"""),45809.0)</f>
        <v>45809</v>
      </c>
      <c r="K438" s="10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7" t="str">
        <f>IFERROR(__xludf.DUMMYFUNCTION("""COMPUTED_VALUE"""),"RAYMER")</f>
        <v>RAYMER</v>
      </c>
      <c r="B439" s="8" t="str">
        <f>IFERROR(__xludf.DUMMYFUNCTION("""COMPUTED_VALUE"""),"MARK")</f>
        <v>MARK</v>
      </c>
      <c r="C439" s="8" t="str">
        <f>IFERROR(__xludf.DUMMYFUNCTION("""COMPUTED_VALUE"""),"PLAINFIELD")</f>
        <v>PLAINFIELD</v>
      </c>
      <c r="D439" s="8" t="str">
        <f>IFERROR(__xludf.DUMMYFUNCTION("""COMPUTED_VALUE"""),"IN")</f>
        <v>IN</v>
      </c>
      <c r="E439" s="8" t="str">
        <f>IFERROR(__xludf.DUMMYFUNCTION("""COMPUTED_VALUE"""),"USA")</f>
        <v>USA</v>
      </c>
      <c r="F439" s="8" t="str">
        <f>IFERROR(__xludf.DUMMYFUNCTION("""COMPUTED_VALUE"""),"PRO 501 DBLS")</f>
        <v>PRO 501 DBLS</v>
      </c>
      <c r="G439" s="8" t="str">
        <f>IFERROR(__xludf.DUMMYFUNCTION("""COMPUTED_VALUE"""),"3")</f>
        <v>3</v>
      </c>
      <c r="H439" s="8" t="str">
        <f>IFERROR(__xludf.DUMMYFUNCTION("""COMPUTED_VALUE"""),"BS 37 IN")</f>
        <v>BS 37 IN</v>
      </c>
      <c r="I439" s="9">
        <f>IFERROR(__xludf.DUMMYFUNCTION("""COMPUTED_VALUE"""),45078.0)</f>
        <v>45078</v>
      </c>
      <c r="J439" s="9">
        <f>IFERROR(__xludf.DUMMYFUNCTION("""COMPUTED_VALUE"""),46174.0)</f>
        <v>46174</v>
      </c>
      <c r="K439" s="10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7" t="str">
        <f>IFERROR(__xludf.DUMMYFUNCTION("""COMPUTED_VALUE"""),"REARDON")</f>
        <v>REARDON</v>
      </c>
      <c r="B440" s="8" t="str">
        <f>IFERROR(__xludf.DUMMYFUNCTION("""COMPUTED_VALUE"""),"JOSH")</f>
        <v>JOSH</v>
      </c>
      <c r="C440" s="8" t="str">
        <f>IFERROR(__xludf.DUMMYFUNCTION("""COMPUTED_VALUE"""),"SALEM")</f>
        <v>SALEM</v>
      </c>
      <c r="D440" s="8" t="str">
        <f>IFERROR(__xludf.DUMMYFUNCTION("""COMPUTED_VALUE"""),"IN")</f>
        <v>IN</v>
      </c>
      <c r="E440" s="8" t="str">
        <f>IFERROR(__xludf.DUMMYFUNCTION("""COMPUTED_VALUE"""),"USA")</f>
        <v>USA</v>
      </c>
      <c r="F440" s="8" t="str">
        <f>IFERROR(__xludf.DUMMYFUNCTION("""COMPUTED_VALUE"""),"MEN 501 DBLS")</f>
        <v>MEN 501 DBLS</v>
      </c>
      <c r="G440" s="8" t="str">
        <f>IFERROR(__xludf.DUMMYFUNCTION("""COMPUTED_VALUE"""),"2")</f>
        <v>2</v>
      </c>
      <c r="H440" s="8" t="str">
        <f>IFERROR(__xludf.DUMMYFUNCTION("""COMPUTED_VALUE"""),"BS 37 IN")</f>
        <v>BS 37 IN</v>
      </c>
      <c r="I440" s="9">
        <f>IFERROR(__xludf.DUMMYFUNCTION("""COMPUTED_VALUE"""),45078.0)</f>
        <v>45078</v>
      </c>
      <c r="J440" s="9">
        <f>IFERROR(__xludf.DUMMYFUNCTION("""COMPUTED_VALUE"""),46174.0)</f>
        <v>46174</v>
      </c>
      <c r="K440" s="10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7" t="str">
        <f>IFERROR(__xludf.DUMMYFUNCTION("""COMPUTED_VALUE"""),"REEVES")</f>
        <v>REEVES</v>
      </c>
      <c r="B441" s="8" t="str">
        <f>IFERROR(__xludf.DUMMYFUNCTION("""COMPUTED_VALUE"""),"JACOB")</f>
        <v>JACOB</v>
      </c>
      <c r="C441" s="8" t="str">
        <f>IFERROR(__xludf.DUMMYFUNCTION("""COMPUTED_VALUE"""),"YANKTON")</f>
        <v>YANKTON</v>
      </c>
      <c r="D441" s="8" t="str">
        <f>IFERROR(__xludf.DUMMYFUNCTION("""COMPUTED_VALUE"""),"SD")</f>
        <v>SD</v>
      </c>
      <c r="E441" s="8" t="str">
        <f>IFERROR(__xludf.DUMMYFUNCTION("""COMPUTED_VALUE"""),"USA")</f>
        <v>USA</v>
      </c>
      <c r="F441" s="8" t="str">
        <f>IFERROR(__xludf.DUMMYFUNCTION("""COMPUTED_VALUE"""),"MEN DBLS CRICKET")</f>
        <v>MEN DBLS CRICKET</v>
      </c>
      <c r="G441" s="8" t="str">
        <f>IFERROR(__xludf.DUMMYFUNCTION("""COMPUTED_VALUE"""),"1ST")</f>
        <v>1ST</v>
      </c>
      <c r="H441" s="8" t="str">
        <f>IFERROR(__xludf.DUMMYFUNCTION("""COMPUTED_VALUE"""),"NE REGIONAL BS 38")</f>
        <v>NE REGIONAL BS 38</v>
      </c>
      <c r="I441" s="9">
        <f>IFERROR(__xludf.DUMMYFUNCTION("""COMPUTED_VALUE"""),45444.0)</f>
        <v>45444</v>
      </c>
      <c r="J441" s="9">
        <f>IFERROR(__xludf.DUMMYFUNCTION("""COMPUTED_VALUE"""),46539.0)</f>
        <v>46539</v>
      </c>
      <c r="K441" s="10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7" t="str">
        <f>IFERROR(__xludf.DUMMYFUNCTION("""COMPUTED_VALUE"""),"Rench")</f>
        <v>Rench</v>
      </c>
      <c r="B442" s="8" t="str">
        <f>IFERROR(__xludf.DUMMYFUNCTION("""COMPUTED_VALUE"""),"Aaron")</f>
        <v>Aaron</v>
      </c>
      <c r="C442" s="8"/>
      <c r="D442" s="8"/>
      <c r="E442" s="8" t="str">
        <f>IFERROR(__xludf.DUMMYFUNCTION("""COMPUTED_VALUE"""),"USA")</f>
        <v>USA</v>
      </c>
      <c r="F442" s="8"/>
      <c r="G442" s="8"/>
      <c r="H442" s="8" t="str">
        <f>IFERROR(__xludf.DUMMYFUNCTION("""COMPUTED_VALUE"""),"ADO Top 25 2020")</f>
        <v>ADO Top 25 2020</v>
      </c>
      <c r="I442" s="9">
        <f>IFERROR(__xludf.DUMMYFUNCTION("""COMPUTED_VALUE"""),44348.0)</f>
        <v>44348</v>
      </c>
      <c r="J442" s="9">
        <f>IFERROR(__xludf.DUMMYFUNCTION("""COMPUTED_VALUE"""),46539.0)</f>
        <v>46539</v>
      </c>
      <c r="K442" s="10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7" t="str">
        <f>IFERROR(__xludf.DUMMYFUNCTION("""COMPUTED_VALUE"""),"Reyes")</f>
        <v>Reyes</v>
      </c>
      <c r="B443" s="8" t="str">
        <f>IFERROR(__xludf.DUMMYFUNCTION("""COMPUTED_VALUE"""),"Alex")</f>
        <v>Alex</v>
      </c>
      <c r="C443" s="8" t="str">
        <f>IFERROR(__xludf.DUMMYFUNCTION("""COMPUTED_VALUE"""),"Floresville")</f>
        <v>Floresville</v>
      </c>
      <c r="D443" s="8" t="str">
        <f>IFERROR(__xludf.DUMMYFUNCTION("""COMPUTED_VALUE"""),"TX")</f>
        <v>TX</v>
      </c>
      <c r="E443" s="8" t="str">
        <f>IFERROR(__xludf.DUMMYFUNCTION("""COMPUTED_VALUE"""),"USA")</f>
        <v>USA</v>
      </c>
      <c r="F443" s="8"/>
      <c r="G443" s="8"/>
      <c r="H443" s="8" t="str">
        <f>IFERROR(__xludf.DUMMYFUNCTION("""COMPUTED_VALUE"""),"ADO Top 25 2020")</f>
        <v>ADO Top 25 2020</v>
      </c>
      <c r="I443" s="9">
        <f>IFERROR(__xludf.DUMMYFUNCTION("""COMPUTED_VALUE"""),44348.0)</f>
        <v>44348</v>
      </c>
      <c r="J443" s="9">
        <f>IFERROR(__xludf.DUMMYFUNCTION("""COMPUTED_VALUE"""),46539.0)</f>
        <v>46539</v>
      </c>
      <c r="K443" s="10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7" t="str">
        <f>IFERROR(__xludf.DUMMYFUNCTION("""COMPUTED_VALUE"""),"REYNOLDS")</f>
        <v>REYNOLDS</v>
      </c>
      <c r="B444" s="8" t="str">
        <f>IFERROR(__xludf.DUMMYFUNCTION("""COMPUTED_VALUE"""),"PAUL")</f>
        <v>PAUL</v>
      </c>
      <c r="C444" s="8" t="str">
        <f>IFERROR(__xludf.DUMMYFUNCTION("""COMPUTED_VALUE"""),"SALISBURY")</f>
        <v>SALISBURY</v>
      </c>
      <c r="D444" s="8" t="str">
        <f>IFERROR(__xludf.DUMMYFUNCTION("""COMPUTED_VALUE"""),"NC")</f>
        <v>NC</v>
      </c>
      <c r="E444" s="8" t="str">
        <f>IFERROR(__xludf.DUMMYFUNCTION("""COMPUTED_VALUE"""),"USA")</f>
        <v>USA</v>
      </c>
      <c r="F444" s="8" t="str">
        <f>IFERROR(__xludf.DUMMYFUNCTION("""COMPUTED_VALUE"""),"MEN 501 DBLS")</f>
        <v>MEN 501 DBLS</v>
      </c>
      <c r="G444" s="8" t="str">
        <f>IFERROR(__xludf.DUMMYFUNCTION("""COMPUTED_VALUE"""),"2")</f>
        <v>2</v>
      </c>
      <c r="H444" s="8" t="str">
        <f>IFERROR(__xludf.DUMMYFUNCTION("""COMPUTED_VALUE"""),"BS 37 SC")</f>
        <v>BS 37 SC</v>
      </c>
      <c r="I444" s="9">
        <f>IFERROR(__xludf.DUMMYFUNCTION("""COMPUTED_VALUE"""),45078.0)</f>
        <v>45078</v>
      </c>
      <c r="J444" s="9">
        <f>IFERROR(__xludf.DUMMYFUNCTION("""COMPUTED_VALUE"""),46174.0)</f>
        <v>46174</v>
      </c>
      <c r="K444" s="1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7" t="str">
        <f>IFERROR(__xludf.DUMMYFUNCTION("""COMPUTED_VALUE"""),"RICE")</f>
        <v>RICE</v>
      </c>
      <c r="B445" s="8" t="str">
        <f>IFERROR(__xludf.DUMMYFUNCTION("""COMPUTED_VALUE"""),"WESLEY")</f>
        <v>WESLEY</v>
      </c>
      <c r="C445" s="8" t="str">
        <f>IFERROR(__xludf.DUMMYFUNCTION("""COMPUTED_VALUE"""),"SAN ANTONIO")</f>
        <v>SAN ANTONIO</v>
      </c>
      <c r="D445" s="8" t="str">
        <f>IFERROR(__xludf.DUMMYFUNCTION("""COMPUTED_VALUE"""),"TX")</f>
        <v>TX</v>
      </c>
      <c r="E445" s="8" t="str">
        <f>IFERROR(__xludf.DUMMYFUNCTION("""COMPUTED_VALUE"""),"USA")</f>
        <v>USA</v>
      </c>
      <c r="F445" s="8" t="str">
        <f>IFERROR(__xludf.DUMMYFUNCTION("""COMPUTED_VALUE"""),"MIXED TRIPLES 701")</f>
        <v>MIXED TRIPLES 701</v>
      </c>
      <c r="G445" s="8" t="str">
        <f>IFERROR(__xludf.DUMMYFUNCTION("""COMPUTED_VALUE"""),"1ST")</f>
        <v>1ST</v>
      </c>
      <c r="H445" s="8" t="str">
        <f>IFERROR(__xludf.DUMMYFUNCTION("""COMPUTED_VALUE"""),"BS 36 REGIONAL TX")</f>
        <v>BS 36 REGIONAL TX</v>
      </c>
      <c r="I445" s="9">
        <f>IFERROR(__xludf.DUMMYFUNCTION("""COMPUTED_VALUE"""),44713.0)</f>
        <v>44713</v>
      </c>
      <c r="J445" s="9">
        <f>IFERROR(__xludf.DUMMYFUNCTION("""COMPUTED_VALUE"""),45809.0)</f>
        <v>45809</v>
      </c>
      <c r="K445" s="1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7" t="str">
        <f>IFERROR(__xludf.DUMMYFUNCTION("""COMPUTED_VALUE"""),"RICHARD")</f>
        <v>RICHARD</v>
      </c>
      <c r="B446" s="8" t="str">
        <f>IFERROR(__xludf.DUMMYFUNCTION("""COMPUTED_VALUE"""),"GLEN")</f>
        <v>GLEN</v>
      </c>
      <c r="C446" s="8" t="str">
        <f>IFERROR(__xludf.DUMMYFUNCTION("""COMPUTED_VALUE"""),"NEDERLAND")</f>
        <v>NEDERLAND</v>
      </c>
      <c r="D446" s="8" t="str">
        <f>IFERROR(__xludf.DUMMYFUNCTION("""COMPUTED_VALUE"""),"TX")</f>
        <v>TX</v>
      </c>
      <c r="E446" s="8" t="str">
        <f>IFERROR(__xludf.DUMMYFUNCTION("""COMPUTED_VALUE"""),"USA")</f>
        <v>USA</v>
      </c>
      <c r="F446" s="8" t="str">
        <f>IFERROR(__xludf.DUMMYFUNCTION("""COMPUTED_VALUE"""),"MEN 501 DBLS")</f>
        <v>MEN 501 DBLS</v>
      </c>
      <c r="G446" s="8" t="str">
        <f>IFERROR(__xludf.DUMMYFUNCTION("""COMPUTED_VALUE"""),"1")</f>
        <v>1</v>
      </c>
      <c r="H446" s="8" t="str">
        <f>IFERROR(__xludf.DUMMYFUNCTION("""COMPUTED_VALUE"""),"BS 37 TX")</f>
        <v>BS 37 TX</v>
      </c>
      <c r="I446" s="9">
        <f>IFERROR(__xludf.DUMMYFUNCTION("""COMPUTED_VALUE"""),45078.0)</f>
        <v>45078</v>
      </c>
      <c r="J446" s="9">
        <f>IFERROR(__xludf.DUMMYFUNCTION("""COMPUTED_VALUE"""),46174.0)</f>
        <v>46174</v>
      </c>
      <c r="K446" s="10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7" t="str">
        <f>IFERROR(__xludf.DUMMYFUNCTION("""COMPUTED_VALUE"""),"RISLEY")</f>
        <v>RISLEY</v>
      </c>
      <c r="B447" s="8" t="str">
        <f>IFERROR(__xludf.DUMMYFUNCTION("""COMPUTED_VALUE"""),"SEAN")</f>
        <v>SEAN</v>
      </c>
      <c r="C447" s="8" t="str">
        <f>IFERROR(__xludf.DUMMYFUNCTION("""COMPUTED_VALUE"""),"VINCENNES")</f>
        <v>VINCENNES</v>
      </c>
      <c r="D447" s="8" t="str">
        <f>IFERROR(__xludf.DUMMYFUNCTION("""COMPUTED_VALUE"""),"IN")</f>
        <v>IN</v>
      </c>
      <c r="E447" s="8" t="str">
        <f>IFERROR(__xludf.DUMMYFUNCTION("""COMPUTED_VALUE"""),"USA")</f>
        <v>USA</v>
      </c>
      <c r="F447" s="8" t="str">
        <f>IFERROR(__xludf.DUMMYFUNCTION("""COMPUTED_VALUE"""),"MEN CRICKET DBLS")</f>
        <v>MEN CRICKET DBLS</v>
      </c>
      <c r="G447" s="8" t="str">
        <f>IFERROR(__xludf.DUMMYFUNCTION("""COMPUTED_VALUE"""),"2")</f>
        <v>2</v>
      </c>
      <c r="H447" s="8" t="str">
        <f>IFERROR(__xludf.DUMMYFUNCTION("""COMPUTED_VALUE"""),"BS 37 IN")</f>
        <v>BS 37 IN</v>
      </c>
      <c r="I447" s="9">
        <f>IFERROR(__xludf.DUMMYFUNCTION("""COMPUTED_VALUE"""),45078.0)</f>
        <v>45078</v>
      </c>
      <c r="J447" s="9">
        <f>IFERROR(__xludf.DUMMYFUNCTION("""COMPUTED_VALUE"""),46174.0)</f>
        <v>46174</v>
      </c>
      <c r="K447" s="10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11" t="str">
        <f>IFERROR(__xludf.DUMMYFUNCTION("""COMPUTED_VALUE"""),"Robbins")</f>
        <v>Robbins</v>
      </c>
      <c r="B448" s="12" t="str">
        <f>IFERROR(__xludf.DUMMYFUNCTION("""COMPUTED_VALUE"""),"Bruce")</f>
        <v>Bruce</v>
      </c>
      <c r="C448" s="12"/>
      <c r="D448" s="12"/>
      <c r="E448" s="12" t="str">
        <f>IFERROR(__xludf.DUMMYFUNCTION("""COMPUTED_VALUE"""),"USA")</f>
        <v>USA</v>
      </c>
      <c r="F448" s="12"/>
      <c r="G448" s="12"/>
      <c r="H448" s="12" t="str">
        <f>IFERROR(__xludf.DUMMYFUNCTION("""COMPUTED_VALUE"""),"ADO Top 25 2021")</f>
        <v>ADO Top 25 2021</v>
      </c>
      <c r="I448" s="14">
        <f>IFERROR(__xludf.DUMMYFUNCTION("""COMPUTED_VALUE"""),44348.0)</f>
        <v>44348</v>
      </c>
      <c r="J448" s="14">
        <f>IFERROR(__xludf.DUMMYFUNCTION("""COMPUTED_VALUE"""),46539.0)</f>
        <v>46539</v>
      </c>
      <c r="K448" s="10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7" t="str">
        <f>IFERROR(__xludf.DUMMYFUNCTION("""COMPUTED_VALUE"""),"ROBERTS")</f>
        <v>ROBERTS</v>
      </c>
      <c r="B449" s="8" t="str">
        <f>IFERROR(__xludf.DUMMYFUNCTION("""COMPUTED_VALUE"""),"JAMES")</f>
        <v>JAMES</v>
      </c>
      <c r="C449" s="8" t="str">
        <f>IFERROR(__xludf.DUMMYFUNCTION("""COMPUTED_VALUE"""),"LEWISTON")</f>
        <v>LEWISTON</v>
      </c>
      <c r="D449" s="8" t="str">
        <f>IFERROR(__xludf.DUMMYFUNCTION("""COMPUTED_VALUE"""),"ID")</f>
        <v>ID</v>
      </c>
      <c r="E449" s="8" t="str">
        <f>IFERROR(__xludf.DUMMYFUNCTION("""COMPUTED_VALUE"""),"USA")</f>
        <v>USA</v>
      </c>
      <c r="F449" s="8" t="str">
        <f>IFERROR(__xludf.DUMMYFUNCTION("""COMPUTED_VALUE"""),"MENS DBLS CRICKET")</f>
        <v>MENS DBLS CRICKET</v>
      </c>
      <c r="G449" s="8" t="str">
        <f>IFERROR(__xludf.DUMMYFUNCTION("""COMPUTED_VALUE"""),"3RD")</f>
        <v>3RD</v>
      </c>
      <c r="H449" s="8" t="str">
        <f>IFERROR(__xludf.DUMMYFUNCTION("""COMPUTED_VALUE"""),"BS 36 REGIONAL AZ")</f>
        <v>BS 36 REGIONAL AZ</v>
      </c>
      <c r="I449" s="9">
        <f>IFERROR(__xludf.DUMMYFUNCTION("""COMPUTED_VALUE"""),44713.0)</f>
        <v>44713</v>
      </c>
      <c r="J449" s="9">
        <f>IFERROR(__xludf.DUMMYFUNCTION("""COMPUTED_VALUE"""),45809.0)</f>
        <v>45809</v>
      </c>
      <c r="K449" s="10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7" t="str">
        <f>IFERROR(__xludf.DUMMYFUNCTION("""COMPUTED_VALUE"""),"ROBINSON")</f>
        <v>ROBINSON</v>
      </c>
      <c r="B450" s="8" t="str">
        <f>IFERROR(__xludf.DUMMYFUNCTION("""COMPUTED_VALUE"""),"ISSAC")</f>
        <v>ISSAC</v>
      </c>
      <c r="C450" s="8" t="str">
        <f>IFERROR(__xludf.DUMMYFUNCTION("""COMPUTED_VALUE"""),"ALBION")</f>
        <v>ALBION</v>
      </c>
      <c r="D450" s="8" t="str">
        <f>IFERROR(__xludf.DUMMYFUNCTION("""COMPUTED_VALUE"""),"NY")</f>
        <v>NY</v>
      </c>
      <c r="E450" s="8" t="str">
        <f>IFERROR(__xludf.DUMMYFUNCTION("""COMPUTED_VALUE"""),"USA")</f>
        <v>USA</v>
      </c>
      <c r="F450" s="8" t="str">
        <f>IFERROR(__xludf.DUMMYFUNCTION("""COMPUTED_VALUE"""),"MENS PRO SINGLES CRICKET")</f>
        <v>MENS PRO SINGLES CRICKET</v>
      </c>
      <c r="G450" s="8" t="str">
        <f>IFERROR(__xludf.DUMMYFUNCTION("""COMPUTED_VALUE"""),"2ND")</f>
        <v>2ND</v>
      </c>
      <c r="H450" s="8" t="str">
        <f>IFERROR(__xludf.DUMMYFUNCTION("""COMPUTED_VALUE"""),"BS 36 REGIONAL NY")</f>
        <v>BS 36 REGIONAL NY</v>
      </c>
      <c r="I450" s="9">
        <f>IFERROR(__xludf.DUMMYFUNCTION("""COMPUTED_VALUE"""),44713.0)</f>
        <v>44713</v>
      </c>
      <c r="J450" s="9">
        <f>IFERROR(__xludf.DUMMYFUNCTION("""COMPUTED_VALUE"""),45809.0)</f>
        <v>45809</v>
      </c>
      <c r="K450" s="10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7" t="str">
        <f>IFERROR(__xludf.DUMMYFUNCTION("""COMPUTED_VALUE"""),"Rodriguez")</f>
        <v>Rodriguez</v>
      </c>
      <c r="B451" s="8" t="str">
        <f>IFERROR(__xludf.DUMMYFUNCTION("""COMPUTED_VALUE"""),"Rusty")</f>
        <v>Rusty</v>
      </c>
      <c r="C451" s="8"/>
      <c r="D451" s="8"/>
      <c r="E451" s="8" t="str">
        <f>IFERROR(__xludf.DUMMYFUNCTION("""COMPUTED_VALUE"""),"AUSTRIA")</f>
        <v>AUSTRIA</v>
      </c>
      <c r="F451" s="8" t="str">
        <f>IFERROR(__xludf.DUMMYFUNCTION("""COMPUTED_VALUE"""),"Pro AA 501 Doubles")</f>
        <v>Pro AA 501 Doubles</v>
      </c>
      <c r="G451" s="8" t="str">
        <f>IFERROR(__xludf.DUMMYFUNCTION("""COMPUTED_VALUE"""),"3rd")</f>
        <v>3rd</v>
      </c>
      <c r="H451" s="8" t="str">
        <f>IFERROR(__xludf.DUMMYFUNCTION("""COMPUTED_VALUE"""),"BullShooter 34 Finals")</f>
        <v>BullShooter 34 Finals</v>
      </c>
      <c r="I451" s="9">
        <f>IFERROR(__xludf.DUMMYFUNCTION("""COMPUTED_VALUE"""),43617.0)</f>
        <v>43617</v>
      </c>
      <c r="J451" s="9">
        <f>IFERROR(__xludf.DUMMYFUNCTION("""COMPUTED_VALUE"""),45809.0)</f>
        <v>45809</v>
      </c>
      <c r="K451" s="10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7" t="str">
        <f>IFERROR(__xludf.DUMMYFUNCTION("""COMPUTED_VALUE"""),"RODRIGUEZ")</f>
        <v>RODRIGUEZ</v>
      </c>
      <c r="B452" s="8" t="str">
        <f>IFERROR(__xludf.DUMMYFUNCTION("""COMPUTED_VALUE"""),"ALFREDO")</f>
        <v>ALFREDO</v>
      </c>
      <c r="C452" s="8" t="str">
        <f>IFERROR(__xludf.DUMMYFUNCTION("""COMPUTED_VALUE"""),"WINTER HAVEN")</f>
        <v>WINTER HAVEN</v>
      </c>
      <c r="D452" s="8" t="str">
        <f>IFERROR(__xludf.DUMMYFUNCTION("""COMPUTED_VALUE"""),"FL")</f>
        <v>FL</v>
      </c>
      <c r="E452" s="8" t="str">
        <f>IFERROR(__xludf.DUMMYFUNCTION("""COMPUTED_VALUE"""),"USA")</f>
        <v>USA</v>
      </c>
      <c r="F452" s="8" t="str">
        <f>IFERROR(__xludf.DUMMYFUNCTION("""COMPUTED_VALUE"""),"MEN 501 DBLS")</f>
        <v>MEN 501 DBLS</v>
      </c>
      <c r="G452" s="8" t="str">
        <f>IFERROR(__xludf.DUMMYFUNCTION("""COMPUTED_VALUE"""),"1")</f>
        <v>1</v>
      </c>
      <c r="H452" s="8" t="str">
        <f>IFERROR(__xludf.DUMMYFUNCTION("""COMPUTED_VALUE"""),"BS 37 FL")</f>
        <v>BS 37 FL</v>
      </c>
      <c r="I452" s="9">
        <f>IFERROR(__xludf.DUMMYFUNCTION("""COMPUTED_VALUE"""),45078.0)</f>
        <v>45078</v>
      </c>
      <c r="J452" s="9">
        <f>IFERROR(__xludf.DUMMYFUNCTION("""COMPUTED_VALUE"""),46174.0)</f>
        <v>46174</v>
      </c>
      <c r="K452" s="1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7" t="str">
        <f>IFERROR(__xludf.DUMMYFUNCTION("""COMPUTED_VALUE"""),"ROMERO")</f>
        <v>ROMERO</v>
      </c>
      <c r="B453" s="8" t="str">
        <f>IFERROR(__xludf.DUMMYFUNCTION("""COMPUTED_VALUE"""),"JALEN")</f>
        <v>JALEN</v>
      </c>
      <c r="C453" s="8" t="str">
        <f>IFERROR(__xludf.DUMMYFUNCTION("""COMPUTED_VALUE"""),"ST PAUL")</f>
        <v>ST PAUL</v>
      </c>
      <c r="D453" s="8" t="str">
        <f>IFERROR(__xludf.DUMMYFUNCTION("""COMPUTED_VALUE"""),"MN")</f>
        <v>MN</v>
      </c>
      <c r="E453" s="8" t="str">
        <f>IFERROR(__xludf.DUMMYFUNCTION("""COMPUTED_VALUE"""),"USA")</f>
        <v>USA</v>
      </c>
      <c r="F453" s="8" t="str">
        <f>IFERROR(__xludf.DUMMYFUNCTION("""COMPUTED_VALUE"""),"MIXED CRICKET")</f>
        <v>MIXED CRICKET</v>
      </c>
      <c r="G453" s="8" t="str">
        <f>IFERROR(__xludf.DUMMYFUNCTION("""COMPUTED_VALUE"""),"4")</f>
        <v>4</v>
      </c>
      <c r="H453" s="8" t="str">
        <f>IFERROR(__xludf.DUMMYFUNCTION("""COMPUTED_VALUE"""),"BS 37 FINALS")</f>
        <v>BS 37 FINALS</v>
      </c>
      <c r="I453" s="9">
        <f>IFERROR(__xludf.DUMMYFUNCTION("""COMPUTED_VALUE"""),45078.0)</f>
        <v>45078</v>
      </c>
      <c r="J453" s="9">
        <f>IFERROR(__xludf.DUMMYFUNCTION("""COMPUTED_VALUE"""),46174.0)</f>
        <v>46174</v>
      </c>
      <c r="K453" s="1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7" t="str">
        <f>IFERROR(__xludf.DUMMYFUNCTION("""COMPUTED_VALUE"""),"ROMERO")</f>
        <v>ROMERO</v>
      </c>
      <c r="B454" s="8" t="str">
        <f>IFERROR(__xludf.DUMMYFUNCTION("""COMPUTED_VALUE"""),"ANTHONY")</f>
        <v>ANTHONY</v>
      </c>
      <c r="C454" s="8" t="str">
        <f>IFERROR(__xludf.DUMMYFUNCTION("""COMPUTED_VALUE"""),"CHATSWORTH")</f>
        <v>CHATSWORTH</v>
      </c>
      <c r="D454" s="8" t="str">
        <f>IFERROR(__xludf.DUMMYFUNCTION("""COMPUTED_VALUE"""),"CA")</f>
        <v>CA</v>
      </c>
      <c r="E454" s="8" t="str">
        <f>IFERROR(__xludf.DUMMYFUNCTION("""COMPUTED_VALUE"""),"USA")</f>
        <v>USA</v>
      </c>
      <c r="F454" s="8" t="str">
        <f>IFERROR(__xludf.DUMMYFUNCTION("""COMPUTED_VALUE"""),"PRO CRICK DBLS")</f>
        <v>PRO CRICK DBLS</v>
      </c>
      <c r="G454" s="8" t="str">
        <f>IFERROR(__xludf.DUMMYFUNCTION("""COMPUTED_VALUE"""),"3")</f>
        <v>3</v>
      </c>
      <c r="H454" s="8" t="str">
        <f>IFERROR(__xludf.DUMMYFUNCTION("""COMPUTED_VALUE"""),"BS 37 CA")</f>
        <v>BS 37 CA</v>
      </c>
      <c r="I454" s="9">
        <f>IFERROR(__xludf.DUMMYFUNCTION("""COMPUTED_VALUE"""),45078.0)</f>
        <v>45078</v>
      </c>
      <c r="J454" s="9">
        <f>IFERROR(__xludf.DUMMYFUNCTION("""COMPUTED_VALUE"""),46174.0)</f>
        <v>46174</v>
      </c>
      <c r="K454" s="1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7" t="str">
        <f>IFERROR(__xludf.DUMMYFUNCTION("""COMPUTED_VALUE"""),"ROWE")</f>
        <v>ROWE</v>
      </c>
      <c r="B455" s="8" t="str">
        <f>IFERROR(__xludf.DUMMYFUNCTION("""COMPUTED_VALUE"""),"MARK")</f>
        <v>MARK</v>
      </c>
      <c r="C455" s="8" t="str">
        <f>IFERROR(__xludf.DUMMYFUNCTION("""COMPUTED_VALUE"""),"PARKVILLE")</f>
        <v>PARKVILLE</v>
      </c>
      <c r="D455" s="8" t="str">
        <f>IFERROR(__xludf.DUMMYFUNCTION("""COMPUTED_VALUE"""),"MO")</f>
        <v>MO</v>
      </c>
      <c r="E455" s="8" t="str">
        <f>IFERROR(__xludf.DUMMYFUNCTION("""COMPUTED_VALUE"""),"USA")</f>
        <v>USA</v>
      </c>
      <c r="F455" s="8" t="str">
        <f>IFERROR(__xludf.DUMMYFUNCTION("""COMPUTED_VALUE"""),"PRO 501 DBLS")</f>
        <v>PRO 501 DBLS</v>
      </c>
      <c r="G455" s="8" t="str">
        <f>IFERROR(__xludf.DUMMYFUNCTION("""COMPUTED_VALUE"""),"2")</f>
        <v>2</v>
      </c>
      <c r="H455" s="8" t="str">
        <f>IFERROR(__xludf.DUMMYFUNCTION("""COMPUTED_VALUE"""),"BS 37 WA")</f>
        <v>BS 37 WA</v>
      </c>
      <c r="I455" s="9">
        <f>IFERROR(__xludf.DUMMYFUNCTION("""COMPUTED_VALUE"""),45078.0)</f>
        <v>45078</v>
      </c>
      <c r="J455" s="9">
        <f>IFERROR(__xludf.DUMMYFUNCTION("""COMPUTED_VALUE"""),46174.0)</f>
        <v>46174</v>
      </c>
      <c r="K455" s="1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7" t="str">
        <f>IFERROR(__xludf.DUMMYFUNCTION("""COMPUTED_VALUE"""),"Roy")</f>
        <v>Roy</v>
      </c>
      <c r="B456" s="8" t="str">
        <f>IFERROR(__xludf.DUMMYFUNCTION("""COMPUTED_VALUE"""),"Jeff")</f>
        <v>Jeff</v>
      </c>
      <c r="C456" s="8"/>
      <c r="D456" s="8"/>
      <c r="E456" s="8" t="str">
        <f>IFERROR(__xludf.DUMMYFUNCTION("""COMPUTED_VALUE"""),"USA")</f>
        <v>USA</v>
      </c>
      <c r="F456" s="8"/>
      <c r="G456" s="8"/>
      <c r="H456" s="8" t="str">
        <f>IFERROR(__xludf.DUMMYFUNCTION("""COMPUTED_VALUE"""),"ADO Top 25 2020")</f>
        <v>ADO Top 25 2020</v>
      </c>
      <c r="I456" s="9">
        <f>IFERROR(__xludf.DUMMYFUNCTION("""COMPUTED_VALUE"""),44348.0)</f>
        <v>44348</v>
      </c>
      <c r="J456" s="9">
        <f>IFERROR(__xludf.DUMMYFUNCTION("""COMPUTED_VALUE"""),46539.0)</f>
        <v>46539</v>
      </c>
      <c r="K456" s="10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7" t="str">
        <f>IFERROR(__xludf.DUMMYFUNCTION("""COMPUTED_VALUE"""),"RUIZ")</f>
        <v>RUIZ</v>
      </c>
      <c r="B457" s="8" t="str">
        <f>IFERROR(__xludf.DUMMYFUNCTION("""COMPUTED_VALUE"""),"TONY")</f>
        <v>TONY</v>
      </c>
      <c r="C457" s="8" t="str">
        <f>IFERROR(__xludf.DUMMYFUNCTION("""COMPUTED_VALUE"""),"SAN ANTONIO")</f>
        <v>SAN ANTONIO</v>
      </c>
      <c r="D457" s="8" t="str">
        <f>IFERROR(__xludf.DUMMYFUNCTION("""COMPUTED_VALUE"""),"TX")</f>
        <v>TX</v>
      </c>
      <c r="E457" s="8" t="str">
        <f>IFERROR(__xludf.DUMMYFUNCTION("""COMPUTED_VALUE"""),"USA")</f>
        <v>USA</v>
      </c>
      <c r="F457" s="8" t="str">
        <f>IFERROR(__xludf.DUMMYFUNCTION("""COMPUTED_VALUE"""),"MENS DBLS CRICKET")</f>
        <v>MENS DBLS CRICKET</v>
      </c>
      <c r="G457" s="8" t="str">
        <f>IFERROR(__xludf.DUMMYFUNCTION("""COMPUTED_VALUE"""),"2ND")</f>
        <v>2ND</v>
      </c>
      <c r="H457" s="8" t="str">
        <f>IFERROR(__xludf.DUMMYFUNCTION("""COMPUTED_VALUE"""),"BS 36 REGIONAL TX")</f>
        <v>BS 36 REGIONAL TX</v>
      </c>
      <c r="I457" s="9">
        <f>IFERROR(__xludf.DUMMYFUNCTION("""COMPUTED_VALUE"""),44713.0)</f>
        <v>44713</v>
      </c>
      <c r="J457" s="9">
        <f>IFERROR(__xludf.DUMMYFUNCTION("""COMPUTED_VALUE"""),45809.0)</f>
        <v>45809</v>
      </c>
      <c r="K457" s="10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7" t="str">
        <f>IFERROR(__xludf.DUMMYFUNCTION("""COMPUTED_VALUE"""),"RUNGE")</f>
        <v>RUNGE</v>
      </c>
      <c r="B458" s="8" t="str">
        <f>IFERROR(__xludf.DUMMYFUNCTION("""COMPUTED_VALUE"""),"LARRY")</f>
        <v>LARRY</v>
      </c>
      <c r="C458" s="8" t="str">
        <f>IFERROR(__xludf.DUMMYFUNCTION("""COMPUTED_VALUE"""),"GRETNA")</f>
        <v>GRETNA</v>
      </c>
      <c r="D458" s="8" t="str">
        <f>IFERROR(__xludf.DUMMYFUNCTION("""COMPUTED_VALUE"""),"NE")</f>
        <v>NE</v>
      </c>
      <c r="E458" s="8" t="str">
        <f>IFERROR(__xludf.DUMMYFUNCTION("""COMPUTED_VALUE"""),"USA")</f>
        <v>USA</v>
      </c>
      <c r="F458" s="8" t="str">
        <f>IFERROR(__xludf.DUMMYFUNCTION("""COMPUTED_VALUE"""),"MEN SINGLES")</f>
        <v>MEN SINGLES</v>
      </c>
      <c r="G458" s="8" t="str">
        <f>IFERROR(__xludf.DUMMYFUNCTION("""COMPUTED_VALUE"""),"1")</f>
        <v>1</v>
      </c>
      <c r="H458" s="8" t="str">
        <f>IFERROR(__xludf.DUMMYFUNCTION("""COMPUTED_VALUE"""),"BS 37 NE")</f>
        <v>BS 37 NE</v>
      </c>
      <c r="I458" s="9">
        <f>IFERROR(__xludf.DUMMYFUNCTION("""COMPUTED_VALUE"""),45078.0)</f>
        <v>45078</v>
      </c>
      <c r="J458" s="9">
        <f>IFERROR(__xludf.DUMMYFUNCTION("""COMPUTED_VALUE"""),46174.0)</f>
        <v>46174</v>
      </c>
      <c r="K458" s="10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7" t="str">
        <f>IFERROR(__xludf.DUMMYFUNCTION("""COMPUTED_VALUE"""),"RUTHLEDGE")</f>
        <v>RUTHLEDGE</v>
      </c>
      <c r="B459" s="8" t="str">
        <f>IFERROR(__xludf.DUMMYFUNCTION("""COMPUTED_VALUE"""),"JEREL")</f>
        <v>JEREL</v>
      </c>
      <c r="C459" s="8" t="str">
        <f>IFERROR(__xludf.DUMMYFUNCTION("""COMPUTED_VALUE"""),"SPRING")</f>
        <v>SPRING</v>
      </c>
      <c r="D459" s="8" t="str">
        <f>IFERROR(__xludf.DUMMYFUNCTION("""COMPUTED_VALUE"""),"TX")</f>
        <v>TX</v>
      </c>
      <c r="E459" s="8" t="str">
        <f>IFERROR(__xludf.DUMMYFUNCTION("""COMPUTED_VALUE"""),"USA")</f>
        <v>USA</v>
      </c>
      <c r="F459" s="8" t="str">
        <f>IFERROR(__xludf.DUMMYFUNCTION("""COMPUTED_VALUE"""),"MENS SINGLES CRICKET")</f>
        <v>MENS SINGLES CRICKET</v>
      </c>
      <c r="G459" s="8" t="str">
        <f>IFERROR(__xludf.DUMMYFUNCTION("""COMPUTED_VALUE"""),"2ND")</f>
        <v>2ND</v>
      </c>
      <c r="H459" s="8" t="str">
        <f>IFERROR(__xludf.DUMMYFUNCTION("""COMPUTED_VALUE"""),"BS 36 REGIONAL FL")</f>
        <v>BS 36 REGIONAL FL</v>
      </c>
      <c r="I459" s="9">
        <f>IFERROR(__xludf.DUMMYFUNCTION("""COMPUTED_VALUE"""),44713.0)</f>
        <v>44713</v>
      </c>
      <c r="J459" s="9">
        <f>IFERROR(__xludf.DUMMYFUNCTION("""COMPUTED_VALUE"""),45809.0)</f>
        <v>45809</v>
      </c>
      <c r="K459" s="10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7" t="str">
        <f>IFERROR(__xludf.DUMMYFUNCTION("""COMPUTED_VALUE"""),"SAENZ")</f>
        <v>SAENZ</v>
      </c>
      <c r="B460" s="8" t="str">
        <f>IFERROR(__xludf.DUMMYFUNCTION("""COMPUTED_VALUE"""),"PAUL")</f>
        <v>PAUL</v>
      </c>
      <c r="C460" s="8" t="str">
        <f>IFERROR(__xludf.DUMMYFUNCTION("""COMPUTED_VALUE"""),"SAN DIEGO")</f>
        <v>SAN DIEGO</v>
      </c>
      <c r="D460" s="8" t="str">
        <f>IFERROR(__xludf.DUMMYFUNCTION("""COMPUTED_VALUE"""),"CA")</f>
        <v>CA</v>
      </c>
      <c r="E460" s="8" t="str">
        <f>IFERROR(__xludf.DUMMYFUNCTION("""COMPUTED_VALUE"""),"USA")</f>
        <v>USA</v>
      </c>
      <c r="F460" s="8" t="str">
        <f>IFERROR(__xludf.DUMMYFUNCTION("""COMPUTED_VALUE"""),"PRO CRICK DBLS")</f>
        <v>PRO CRICK DBLS</v>
      </c>
      <c r="G460" s="8" t="str">
        <f>IFERROR(__xludf.DUMMYFUNCTION("""COMPUTED_VALUE"""),"3")</f>
        <v>3</v>
      </c>
      <c r="H460" s="8" t="str">
        <f>IFERROR(__xludf.DUMMYFUNCTION("""COMPUTED_VALUE"""),"BS 37 CA")</f>
        <v>BS 37 CA</v>
      </c>
      <c r="I460" s="9">
        <f>IFERROR(__xludf.DUMMYFUNCTION("""COMPUTED_VALUE"""),45078.0)</f>
        <v>45078</v>
      </c>
      <c r="J460" s="9">
        <f>IFERROR(__xludf.DUMMYFUNCTION("""COMPUTED_VALUE"""),46174.0)</f>
        <v>46174</v>
      </c>
      <c r="K460" s="10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7" t="str">
        <f>IFERROR(__xludf.DUMMYFUNCTION("""COMPUTED_VALUE"""),"SAMS")</f>
        <v>SAMS</v>
      </c>
      <c r="B461" s="8" t="str">
        <f>IFERROR(__xludf.DUMMYFUNCTION("""COMPUTED_VALUE"""),"CHRISTOPHER")</f>
        <v>CHRISTOPHER</v>
      </c>
      <c r="C461" s="8" t="str">
        <f>IFERROR(__xludf.DUMMYFUNCTION("""COMPUTED_VALUE"""),"MICANOPY")</f>
        <v>MICANOPY</v>
      </c>
      <c r="D461" s="8" t="str">
        <f>IFERROR(__xludf.DUMMYFUNCTION("""COMPUTED_VALUE"""),"FL")</f>
        <v>FL</v>
      </c>
      <c r="E461" s="8" t="str">
        <f>IFERROR(__xludf.DUMMYFUNCTION("""COMPUTED_VALUE"""),"USA")</f>
        <v>USA</v>
      </c>
      <c r="F461" s="8" t="str">
        <f>IFERROR(__xludf.DUMMYFUNCTION("""COMPUTED_VALUE"""),"MIXED TRIPLES 701")</f>
        <v>MIXED TRIPLES 701</v>
      </c>
      <c r="G461" s="8" t="str">
        <f>IFERROR(__xludf.DUMMYFUNCTION("""COMPUTED_VALUE"""),"1ST")</f>
        <v>1ST</v>
      </c>
      <c r="H461" s="8" t="str">
        <f>IFERROR(__xludf.DUMMYFUNCTION("""COMPUTED_VALUE"""),"BS 36 REGIONAL FL")</f>
        <v>BS 36 REGIONAL FL</v>
      </c>
      <c r="I461" s="9">
        <f>IFERROR(__xludf.DUMMYFUNCTION("""COMPUTED_VALUE"""),44713.0)</f>
        <v>44713</v>
      </c>
      <c r="J461" s="9">
        <f>IFERROR(__xludf.DUMMYFUNCTION("""COMPUTED_VALUE"""),45809.0)</f>
        <v>45809</v>
      </c>
      <c r="K461" s="10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7" t="str">
        <f>IFERROR(__xludf.DUMMYFUNCTION("""COMPUTED_VALUE"""),"Sanden")</f>
        <v>Sanden</v>
      </c>
      <c r="B462" s="8" t="str">
        <f>IFERROR(__xludf.DUMMYFUNCTION("""COMPUTED_VALUE"""),"Dennis")</f>
        <v>Dennis</v>
      </c>
      <c r="C462" s="8"/>
      <c r="D462" s="8"/>
      <c r="E462" s="8" t="str">
        <f>IFERROR(__xludf.DUMMYFUNCTION("""COMPUTED_VALUE"""),"USA")</f>
        <v>USA</v>
      </c>
      <c r="F462" s="8" t="str">
        <f>IFERROR(__xludf.DUMMYFUNCTION("""COMPUTED_VALUE"""),"Men Cricket Dbls")</f>
        <v>Men Cricket Dbls</v>
      </c>
      <c r="G462" s="8" t="str">
        <f>IFERROR(__xludf.DUMMYFUNCTION("""COMPUTED_VALUE"""),"4th")</f>
        <v>4th</v>
      </c>
      <c r="H462" s="8" t="str">
        <f>IFERROR(__xludf.DUMMYFUNCTION("""COMPUTED_VALUE"""),"BS 38 Finals")</f>
        <v>BS 38 Finals</v>
      </c>
      <c r="I462" s="9">
        <f>IFERROR(__xludf.DUMMYFUNCTION("""COMPUTED_VALUE"""),45444.0)</f>
        <v>45444</v>
      </c>
      <c r="J462" s="9">
        <f>IFERROR(__xludf.DUMMYFUNCTION("""COMPUTED_VALUE"""),46539.0)</f>
        <v>46539</v>
      </c>
      <c r="K462" s="10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7" t="str">
        <f>IFERROR(__xludf.DUMMYFUNCTION("""COMPUTED_VALUE"""),"Scarberry")</f>
        <v>Scarberry</v>
      </c>
      <c r="B463" s="8" t="str">
        <f>IFERROR(__xludf.DUMMYFUNCTION("""COMPUTED_VALUE"""),"Rick")</f>
        <v>Rick</v>
      </c>
      <c r="C463" s="8"/>
      <c r="D463" s="8"/>
      <c r="E463" s="8" t="str">
        <f>IFERROR(__xludf.DUMMYFUNCTION("""COMPUTED_VALUE"""),"USA")</f>
        <v>USA</v>
      </c>
      <c r="F463" s="8" t="str">
        <f>IFERROR(__xludf.DUMMYFUNCTION("""COMPUTED_VALUE"""),"Mixed Triples 701")</f>
        <v>Mixed Triples 701</v>
      </c>
      <c r="G463" s="8" t="str">
        <f>IFERROR(__xludf.DUMMYFUNCTION("""COMPUTED_VALUE"""),"1st")</f>
        <v>1st</v>
      </c>
      <c r="H463" s="8" t="str">
        <f>IFERROR(__xludf.DUMMYFUNCTION("""COMPUTED_VALUE"""),"BS 38 Finals")</f>
        <v>BS 38 Finals</v>
      </c>
      <c r="I463" s="9">
        <f>IFERROR(__xludf.DUMMYFUNCTION("""COMPUTED_VALUE"""),45444.0)</f>
        <v>45444</v>
      </c>
      <c r="J463" s="9">
        <f>IFERROR(__xludf.DUMMYFUNCTION("""COMPUTED_VALUE"""),46539.0)</f>
        <v>46539</v>
      </c>
      <c r="K463" s="10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7" t="str">
        <f>IFERROR(__xludf.DUMMYFUNCTION("""COMPUTED_VALUE"""),"SCHAUMANN")</f>
        <v>SCHAUMANN</v>
      </c>
      <c r="B464" s="8" t="str">
        <f>IFERROR(__xludf.DUMMYFUNCTION("""COMPUTED_VALUE"""),"JOHN")</f>
        <v>JOHN</v>
      </c>
      <c r="C464" s="8" t="str">
        <f>IFERROR(__xludf.DUMMYFUNCTION("""COMPUTED_VALUE"""),"AIKEN")</f>
        <v>AIKEN</v>
      </c>
      <c r="D464" s="8" t="str">
        <f>IFERROR(__xludf.DUMMYFUNCTION("""COMPUTED_VALUE"""),"SC")</f>
        <v>SC</v>
      </c>
      <c r="E464" s="8" t="str">
        <f>IFERROR(__xludf.DUMMYFUNCTION("""COMPUTED_VALUE"""),"USA")</f>
        <v>USA</v>
      </c>
      <c r="F464" s="8" t="str">
        <f>IFERROR(__xludf.DUMMYFUNCTION("""COMPUTED_VALUE"""),"MEN CRICKET DBLS")</f>
        <v>MEN CRICKET DBLS</v>
      </c>
      <c r="G464" s="8" t="str">
        <f>IFERROR(__xludf.DUMMYFUNCTION("""COMPUTED_VALUE"""),"1")</f>
        <v>1</v>
      </c>
      <c r="H464" s="8" t="str">
        <f>IFERROR(__xludf.DUMMYFUNCTION("""COMPUTED_VALUE"""),"BS 37 SC")</f>
        <v>BS 37 SC</v>
      </c>
      <c r="I464" s="9">
        <f>IFERROR(__xludf.DUMMYFUNCTION("""COMPUTED_VALUE"""),45078.0)</f>
        <v>45078</v>
      </c>
      <c r="J464" s="9">
        <f>IFERROR(__xludf.DUMMYFUNCTION("""COMPUTED_VALUE"""),46174.0)</f>
        <v>46174</v>
      </c>
      <c r="K464" s="1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7" t="str">
        <f>IFERROR(__xludf.DUMMYFUNCTION("""COMPUTED_VALUE"""),"SCHERMERHORN")</f>
        <v>SCHERMERHORN</v>
      </c>
      <c r="B465" s="8" t="str">
        <f>IFERROR(__xludf.DUMMYFUNCTION("""COMPUTED_VALUE"""),"AUSTIN")</f>
        <v>AUSTIN</v>
      </c>
      <c r="C465" s="8" t="str">
        <f>IFERROR(__xludf.DUMMYFUNCTION("""COMPUTED_VALUE"""),"ST. JOSEPH")</f>
        <v>ST. JOSEPH</v>
      </c>
      <c r="D465" s="8" t="str">
        <f>IFERROR(__xludf.DUMMYFUNCTION("""COMPUTED_VALUE"""),"MO")</f>
        <v>MO</v>
      </c>
      <c r="E465" s="8" t="str">
        <f>IFERROR(__xludf.DUMMYFUNCTION("""COMPUTED_VALUE"""),"USA")</f>
        <v>USA</v>
      </c>
      <c r="F465" s="8" t="str">
        <f>IFERROR(__xludf.DUMMYFUNCTION("""COMPUTED_VALUE"""),"MENS DBLS CRICKET")</f>
        <v>MENS DBLS CRICKET</v>
      </c>
      <c r="G465" s="8" t="str">
        <f>IFERROR(__xludf.DUMMYFUNCTION("""COMPUTED_VALUE"""),"3RD")</f>
        <v>3RD</v>
      </c>
      <c r="H465" s="8" t="str">
        <f>IFERROR(__xludf.DUMMYFUNCTION("""COMPUTED_VALUE"""),"BS 36 REGIONAL NE")</f>
        <v>BS 36 REGIONAL NE</v>
      </c>
      <c r="I465" s="9">
        <f>IFERROR(__xludf.DUMMYFUNCTION("""COMPUTED_VALUE"""),44713.0)</f>
        <v>44713</v>
      </c>
      <c r="J465" s="9">
        <f>IFERROR(__xludf.DUMMYFUNCTION("""COMPUTED_VALUE"""),45809.0)</f>
        <v>45809</v>
      </c>
      <c r="K465" s="1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7" t="str">
        <f>IFERROR(__xludf.DUMMYFUNCTION("""COMPUTED_VALUE"""),"SCHMIDT")</f>
        <v>SCHMIDT</v>
      </c>
      <c r="B466" s="8" t="str">
        <f>IFERROR(__xludf.DUMMYFUNCTION("""COMPUTED_VALUE"""),"EUGENE")</f>
        <v>EUGENE</v>
      </c>
      <c r="C466" s="8" t="str">
        <f>IFERROR(__xludf.DUMMYFUNCTION("""COMPUTED_VALUE"""),"DECKER")</f>
        <v>DECKER</v>
      </c>
      <c r="D466" s="8" t="str">
        <f>IFERROR(__xludf.DUMMYFUNCTION("""COMPUTED_VALUE"""),"IN")</f>
        <v>IN</v>
      </c>
      <c r="E466" s="8" t="str">
        <f>IFERROR(__xludf.DUMMYFUNCTION("""COMPUTED_VALUE"""),"USA")</f>
        <v>USA</v>
      </c>
      <c r="F466" s="8" t="str">
        <f>IFERROR(__xludf.DUMMYFUNCTION("""COMPUTED_VALUE"""),"MIXED TRIPLE 701")</f>
        <v>MIXED TRIPLE 701</v>
      </c>
      <c r="G466" s="8" t="str">
        <f>IFERROR(__xludf.DUMMYFUNCTION("""COMPUTED_VALUE"""),"4TH")</f>
        <v>4TH</v>
      </c>
      <c r="H466" s="8" t="str">
        <f>IFERROR(__xludf.DUMMYFUNCTION("""COMPUTED_VALUE"""),"BULLSHOOTER 36 FINALS")</f>
        <v>BULLSHOOTER 36 FINALS</v>
      </c>
      <c r="I466" s="9">
        <f>IFERROR(__xludf.DUMMYFUNCTION("""COMPUTED_VALUE"""),44713.0)</f>
        <v>44713</v>
      </c>
      <c r="J466" s="9">
        <f>IFERROR(__xludf.DUMMYFUNCTION("""COMPUTED_VALUE"""),45809.0)</f>
        <v>45809</v>
      </c>
      <c r="K466" s="1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7" t="str">
        <f>IFERROR(__xludf.DUMMYFUNCTION("""COMPUTED_VALUE"""),"SCHNITZLER")</f>
        <v>SCHNITZLER</v>
      </c>
      <c r="B467" s="8" t="str">
        <f>IFERROR(__xludf.DUMMYFUNCTION("""COMPUTED_VALUE"""),"BRYAN")</f>
        <v>BRYAN</v>
      </c>
      <c r="C467" s="8" t="str">
        <f>IFERROR(__xludf.DUMMYFUNCTION("""COMPUTED_VALUE"""),"APOLLO BEACH")</f>
        <v>APOLLO BEACH</v>
      </c>
      <c r="D467" s="8" t="str">
        <f>IFERROR(__xludf.DUMMYFUNCTION("""COMPUTED_VALUE"""),"FL")</f>
        <v>FL</v>
      </c>
      <c r="E467" s="8" t="str">
        <f>IFERROR(__xludf.DUMMYFUNCTION("""COMPUTED_VALUE"""),"USA")</f>
        <v>USA</v>
      </c>
      <c r="F467" s="8" t="str">
        <f>IFERROR(__xludf.DUMMYFUNCTION("""COMPUTED_VALUE"""),"MENS PRO DBLS 501")</f>
        <v>MENS PRO DBLS 501</v>
      </c>
      <c r="G467" s="8" t="str">
        <f>IFERROR(__xludf.DUMMYFUNCTION("""COMPUTED_VALUE"""),"3RD")</f>
        <v>3RD</v>
      </c>
      <c r="H467" s="8" t="str">
        <f>IFERROR(__xludf.DUMMYFUNCTION("""COMPUTED_VALUE"""),"BS 36 REGIONAL FL")</f>
        <v>BS 36 REGIONAL FL</v>
      </c>
      <c r="I467" s="9">
        <f>IFERROR(__xludf.DUMMYFUNCTION("""COMPUTED_VALUE"""),44713.0)</f>
        <v>44713</v>
      </c>
      <c r="J467" s="9">
        <f>IFERROR(__xludf.DUMMYFUNCTION("""COMPUTED_VALUE"""),45809.0)</f>
        <v>45809</v>
      </c>
      <c r="K467" s="1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7" t="str">
        <f>IFERROR(__xludf.DUMMYFUNCTION("""COMPUTED_VALUE"""),"SCHRAMM")</f>
        <v>SCHRAMM</v>
      </c>
      <c r="B468" s="8" t="str">
        <f>IFERROR(__xludf.DUMMYFUNCTION("""COMPUTED_VALUE"""),"LAWRENCE")</f>
        <v>LAWRENCE</v>
      </c>
      <c r="C468" s="8" t="str">
        <f>IFERROR(__xludf.DUMMYFUNCTION("""COMPUTED_VALUE"""),"JAQCKSONVILLE")</f>
        <v>JAQCKSONVILLE</v>
      </c>
      <c r="D468" s="8" t="str">
        <f>IFERROR(__xludf.DUMMYFUNCTION("""COMPUTED_VALUE"""),"FL")</f>
        <v>FL</v>
      </c>
      <c r="E468" s="8" t="str">
        <f>IFERROR(__xludf.DUMMYFUNCTION("""COMPUTED_VALUE"""),"USA")</f>
        <v>USA</v>
      </c>
      <c r="F468" s="8" t="str">
        <f>IFERROR(__xludf.DUMMYFUNCTION("""COMPUTED_VALUE"""),"MENS DBLS 501")</f>
        <v>MENS DBLS 501</v>
      </c>
      <c r="G468" s="8" t="str">
        <f>IFERROR(__xludf.DUMMYFUNCTION("""COMPUTED_VALUE"""),"2ND")</f>
        <v>2ND</v>
      </c>
      <c r="H468" s="8" t="str">
        <f>IFERROR(__xludf.DUMMYFUNCTION("""COMPUTED_VALUE"""),"BS 36 REGIONAL FL")</f>
        <v>BS 36 REGIONAL FL</v>
      </c>
      <c r="I468" s="9">
        <f>IFERROR(__xludf.DUMMYFUNCTION("""COMPUTED_VALUE"""),44713.0)</f>
        <v>44713</v>
      </c>
      <c r="J468" s="9">
        <f>IFERROR(__xludf.DUMMYFUNCTION("""COMPUTED_VALUE"""),45809.0)</f>
        <v>45809</v>
      </c>
      <c r="K468" s="10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7" t="str">
        <f>IFERROR(__xludf.DUMMYFUNCTION("""COMPUTED_VALUE"""),"SCHULTZ")</f>
        <v>SCHULTZ</v>
      </c>
      <c r="B469" s="8" t="str">
        <f>IFERROR(__xludf.DUMMYFUNCTION("""COMPUTED_VALUE"""),"WILLIAM")</f>
        <v>WILLIAM</v>
      </c>
      <c r="C469" s="8" t="str">
        <f>IFERROR(__xludf.DUMMYFUNCTION("""COMPUTED_VALUE"""),"OSLO")</f>
        <v>OSLO</v>
      </c>
      <c r="D469" s="8" t="str">
        <f>IFERROR(__xludf.DUMMYFUNCTION("""COMPUTED_VALUE"""),"MN")</f>
        <v>MN</v>
      </c>
      <c r="E469" s="8" t="str">
        <f>IFERROR(__xludf.DUMMYFUNCTION("""COMPUTED_VALUE"""),"USA")</f>
        <v>USA</v>
      </c>
      <c r="F469" s="8" t="str">
        <f>IFERROR(__xludf.DUMMYFUNCTION("""COMPUTED_VALUE"""),"MENS DBLS CRICKET")</f>
        <v>MENS DBLS CRICKET</v>
      </c>
      <c r="G469" s="8" t="str">
        <f>IFERROR(__xludf.DUMMYFUNCTION("""COMPUTED_VALUE"""),"3RD")</f>
        <v>3RD</v>
      </c>
      <c r="H469" s="8" t="str">
        <f>IFERROR(__xludf.DUMMYFUNCTION("""COMPUTED_VALUE"""),"BS 36 REGIONAL WY")</f>
        <v>BS 36 REGIONAL WY</v>
      </c>
      <c r="I469" s="9">
        <f>IFERROR(__xludf.DUMMYFUNCTION("""COMPUTED_VALUE"""),44713.0)</f>
        <v>44713</v>
      </c>
      <c r="J469" s="9">
        <f>IFERROR(__xludf.DUMMYFUNCTION("""COMPUTED_VALUE"""),45809.0)</f>
        <v>45809</v>
      </c>
      <c r="K469" s="10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7" t="str">
        <f>IFERROR(__xludf.DUMMYFUNCTION("""COMPUTED_VALUE"""),"SCHWINDMANN")</f>
        <v>SCHWINDMANN</v>
      </c>
      <c r="B470" s="8" t="str">
        <f>IFERROR(__xludf.DUMMYFUNCTION("""COMPUTED_VALUE"""),"PAUL")</f>
        <v>PAUL</v>
      </c>
      <c r="C470" s="8" t="str">
        <f>IFERROR(__xludf.DUMMYFUNCTION("""COMPUTED_VALUE"""),"OVERLAND PARK")</f>
        <v>OVERLAND PARK</v>
      </c>
      <c r="D470" s="8" t="str">
        <f>IFERROR(__xludf.DUMMYFUNCTION("""COMPUTED_VALUE"""),"KS")</f>
        <v>KS</v>
      </c>
      <c r="E470" s="8" t="str">
        <f>IFERROR(__xludf.DUMMYFUNCTION("""COMPUTED_VALUE"""),"USA")</f>
        <v>USA</v>
      </c>
      <c r="F470" s="8" t="str">
        <f>IFERROR(__xludf.DUMMYFUNCTION("""COMPUTED_VALUE"""),"PRO SINGLES")</f>
        <v>PRO SINGLES</v>
      </c>
      <c r="G470" s="8" t="str">
        <f>IFERROR(__xludf.DUMMYFUNCTION("""COMPUTED_VALUE"""),"1")</f>
        <v>1</v>
      </c>
      <c r="H470" s="8" t="str">
        <f>IFERROR(__xludf.DUMMYFUNCTION("""COMPUTED_VALUE"""),"BS 37")</f>
        <v>BS 37</v>
      </c>
      <c r="I470" s="9">
        <f>IFERROR(__xludf.DUMMYFUNCTION("""COMPUTED_VALUE"""),45078.0)</f>
        <v>45078</v>
      </c>
      <c r="J470" s="9">
        <f>IFERROR(__xludf.DUMMYFUNCTION("""COMPUTED_VALUE"""),46174.0)</f>
        <v>46174</v>
      </c>
      <c r="K470" s="10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7" t="str">
        <f>IFERROR(__xludf.DUMMYFUNCTION("""COMPUTED_VALUE"""),"SEEBERGER")</f>
        <v>SEEBERGER</v>
      </c>
      <c r="B471" s="8" t="str">
        <f>IFERROR(__xludf.DUMMYFUNCTION("""COMPUTED_VALUE"""),"JOSEPH")</f>
        <v>JOSEPH</v>
      </c>
      <c r="C471" s="8" t="str">
        <f>IFERROR(__xludf.DUMMYFUNCTION("""COMPUTED_VALUE"""),"CYPRESS")</f>
        <v>CYPRESS</v>
      </c>
      <c r="D471" s="8" t="str">
        <f>IFERROR(__xludf.DUMMYFUNCTION("""COMPUTED_VALUE"""),"TX")</f>
        <v>TX</v>
      </c>
      <c r="E471" s="8" t="str">
        <f>IFERROR(__xludf.DUMMYFUNCTION("""COMPUTED_VALUE"""),"USA")</f>
        <v>USA</v>
      </c>
      <c r="F471" s="8" t="str">
        <f>IFERROR(__xludf.DUMMYFUNCTION("""COMPUTED_VALUE"""),"MENS DBLS 501")</f>
        <v>MENS DBLS 501</v>
      </c>
      <c r="G471" s="8" t="str">
        <f>IFERROR(__xludf.DUMMYFUNCTION("""COMPUTED_VALUE"""),"1ST")</f>
        <v>1ST</v>
      </c>
      <c r="H471" s="8" t="str">
        <f>IFERROR(__xludf.DUMMYFUNCTION("""COMPUTED_VALUE"""),"BS 36 REGIONAL FL")</f>
        <v>BS 36 REGIONAL FL</v>
      </c>
      <c r="I471" s="9">
        <f>IFERROR(__xludf.DUMMYFUNCTION("""COMPUTED_VALUE"""),44713.0)</f>
        <v>44713</v>
      </c>
      <c r="J471" s="9">
        <f>IFERROR(__xludf.DUMMYFUNCTION("""COMPUTED_VALUE"""),45809.0)</f>
        <v>45809</v>
      </c>
      <c r="K471" s="10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7" t="str">
        <f>IFERROR(__xludf.DUMMYFUNCTION("""COMPUTED_VALUE"""),"Segers")</f>
        <v>Segers</v>
      </c>
      <c r="B472" s="8" t="str">
        <f>IFERROR(__xludf.DUMMYFUNCTION("""COMPUTED_VALUE"""),"Michael")</f>
        <v>Michael</v>
      </c>
      <c r="C472" s="8"/>
      <c r="D472" s="8" t="str">
        <f>IFERROR(__xludf.DUMMYFUNCTION("""COMPUTED_VALUE"""),"UNK")</f>
        <v>UNK</v>
      </c>
      <c r="E472" s="8" t="str">
        <f>IFERROR(__xludf.DUMMYFUNCTION("""COMPUTED_VALUE"""),"Belgium")</f>
        <v>Belgium</v>
      </c>
      <c r="F472" s="8" t="str">
        <f>IFERROR(__xludf.DUMMYFUNCTION("""COMPUTED_VALUE"""),"Known Pro")</f>
        <v>Known Pro</v>
      </c>
      <c r="G472" s="8"/>
      <c r="H472" s="8" t="str">
        <f>IFERROR(__xludf.DUMMYFUNCTION("""COMPUTED_VALUE"""),"Known Ability")</f>
        <v>Known Ability</v>
      </c>
      <c r="I472" s="9">
        <f>IFERROR(__xludf.DUMMYFUNCTION("""COMPUTED_VALUE"""),36892.0)</f>
        <v>36892</v>
      </c>
      <c r="J472" s="9">
        <f>IFERROR(__xludf.DUMMYFUNCTION("""COMPUTED_VALUE"""),47635.0)</f>
        <v>47635</v>
      </c>
      <c r="K472" s="10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7" t="str">
        <f>IFERROR(__xludf.DUMMYFUNCTION("""COMPUTED_VALUE"""),"SEVADA")</f>
        <v>SEVADA</v>
      </c>
      <c r="B473" s="8" t="str">
        <f>IFERROR(__xludf.DUMMYFUNCTION("""COMPUTED_VALUE"""),"ADAM")</f>
        <v>ADAM</v>
      </c>
      <c r="C473" s="8" t="str">
        <f>IFERROR(__xludf.DUMMYFUNCTION("""COMPUTED_VALUE"""),"PARKER")</f>
        <v>PARKER</v>
      </c>
      <c r="D473" s="8" t="str">
        <f>IFERROR(__xludf.DUMMYFUNCTION("""COMPUTED_VALUE"""),"AZ")</f>
        <v>AZ</v>
      </c>
      <c r="E473" s="8" t="str">
        <f>IFERROR(__xludf.DUMMYFUNCTION("""COMPUTED_VALUE"""),"USA")</f>
        <v>USA</v>
      </c>
      <c r="F473" s="8" t="str">
        <f>IFERROR(__xludf.DUMMYFUNCTION("""COMPUTED_VALUE"""),"MENS SNG CRICKET")</f>
        <v>MENS SNG CRICKET</v>
      </c>
      <c r="G473" s="8" t="str">
        <f>IFERROR(__xludf.DUMMYFUNCTION("""COMPUTED_VALUE"""),"2ND")</f>
        <v>2ND</v>
      </c>
      <c r="H473" s="8" t="str">
        <f>IFERROR(__xludf.DUMMYFUNCTION("""COMPUTED_VALUE"""),"AZ REGIONAL BS 38")</f>
        <v>AZ REGIONAL BS 38</v>
      </c>
      <c r="I473" s="9">
        <f>IFERROR(__xludf.DUMMYFUNCTION("""COMPUTED_VALUE"""),45444.0)</f>
        <v>45444</v>
      </c>
      <c r="J473" s="9">
        <f>IFERROR(__xludf.DUMMYFUNCTION("""COMPUTED_VALUE"""),46539.0)</f>
        <v>46539</v>
      </c>
      <c r="K473" s="10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7" t="str">
        <f>IFERROR(__xludf.DUMMYFUNCTION("""COMPUTED_VALUE"""),"SEYLER")</f>
        <v>SEYLER</v>
      </c>
      <c r="B474" s="8" t="str">
        <f>IFERROR(__xludf.DUMMYFUNCTION("""COMPUTED_VALUE"""),"SONNY")</f>
        <v>SONNY</v>
      </c>
      <c r="C474" s="8" t="str">
        <f>IFERROR(__xludf.DUMMYFUNCTION("""COMPUTED_VALUE"""),"OMAHA")</f>
        <v>OMAHA</v>
      </c>
      <c r="D474" s="8" t="str">
        <f>IFERROR(__xludf.DUMMYFUNCTION("""COMPUTED_VALUE"""),"NE")</f>
        <v>NE</v>
      </c>
      <c r="E474" s="8" t="str">
        <f>IFERROR(__xludf.DUMMYFUNCTION("""COMPUTED_VALUE"""),"USA")</f>
        <v>USA</v>
      </c>
      <c r="F474" s="8" t="str">
        <f>IFERROR(__xludf.DUMMYFUNCTION("""COMPUTED_VALUE"""),"PRO 501 DBLS")</f>
        <v>PRO 501 DBLS</v>
      </c>
      <c r="G474" s="8" t="str">
        <f>IFERROR(__xludf.DUMMYFUNCTION("""COMPUTED_VALUE"""),"3")</f>
        <v>3</v>
      </c>
      <c r="H474" s="8" t="str">
        <f>IFERROR(__xludf.DUMMYFUNCTION("""COMPUTED_VALUE"""),"BS 37 NE")</f>
        <v>BS 37 NE</v>
      </c>
      <c r="I474" s="9">
        <f>IFERROR(__xludf.DUMMYFUNCTION("""COMPUTED_VALUE"""),45078.0)</f>
        <v>45078</v>
      </c>
      <c r="J474" s="9">
        <f>IFERROR(__xludf.DUMMYFUNCTION("""COMPUTED_VALUE"""),46174.0)</f>
        <v>46174</v>
      </c>
      <c r="K474" s="10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7" t="str">
        <f>IFERROR(__xludf.DUMMYFUNCTION("""COMPUTED_VALUE"""),"Shampine")</f>
        <v>Shampine</v>
      </c>
      <c r="B475" s="8" t="str">
        <f>IFERROR(__xludf.DUMMYFUNCTION("""COMPUTED_VALUE"""),"Christopher")</f>
        <v>Christopher</v>
      </c>
      <c r="C475" s="8"/>
      <c r="D475" s="8"/>
      <c r="E475" s="8"/>
      <c r="F475" s="8" t="str">
        <f>IFERROR(__xludf.DUMMYFUNCTION("""COMPUTED_VALUE"""),"TopGun Singles")</f>
        <v>TopGun Singles</v>
      </c>
      <c r="G475" s="8" t="str">
        <f>IFERROR(__xludf.DUMMYFUNCTION("""COMPUTED_VALUE"""),"3-4th")</f>
        <v>3-4th</v>
      </c>
      <c r="H475" s="8" t="str">
        <f>IFERROR(__xludf.DUMMYFUNCTION("""COMPUTED_VALUE"""),"BS 38 Finals")</f>
        <v>BS 38 Finals</v>
      </c>
      <c r="I475" s="9">
        <f>IFERROR(__xludf.DUMMYFUNCTION("""COMPUTED_VALUE"""),45444.0)</f>
        <v>45444</v>
      </c>
      <c r="J475" s="9">
        <f>IFERROR(__xludf.DUMMYFUNCTION("""COMPUTED_VALUE"""),46539.0)</f>
        <v>46539</v>
      </c>
      <c r="K475" s="10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7" t="str">
        <f>IFERROR(__xludf.DUMMYFUNCTION("""COMPUTED_VALUE"""),"SHANNON")</f>
        <v>SHANNON</v>
      </c>
      <c r="B476" s="8" t="str">
        <f>IFERROR(__xludf.DUMMYFUNCTION("""COMPUTED_VALUE"""),"BILL")</f>
        <v>BILL</v>
      </c>
      <c r="C476" s="8" t="str">
        <f>IFERROR(__xludf.DUMMYFUNCTION("""COMPUTED_VALUE"""),"RAPID CITY")</f>
        <v>RAPID CITY</v>
      </c>
      <c r="D476" s="8" t="str">
        <f>IFERROR(__xludf.DUMMYFUNCTION("""COMPUTED_VALUE"""),"SD")</f>
        <v>SD</v>
      </c>
      <c r="E476" s="8" t="str">
        <f>IFERROR(__xludf.DUMMYFUNCTION("""COMPUTED_VALUE"""),"USA")</f>
        <v>USA</v>
      </c>
      <c r="F476" s="8" t="str">
        <f>IFERROR(__xludf.DUMMYFUNCTION("""COMPUTED_VALUE"""),"MENS DBLS 501")</f>
        <v>MENS DBLS 501</v>
      </c>
      <c r="G476" s="8" t="str">
        <f>IFERROR(__xludf.DUMMYFUNCTION("""COMPUTED_VALUE"""),"2ND")</f>
        <v>2ND</v>
      </c>
      <c r="H476" s="8" t="str">
        <f>IFERROR(__xludf.DUMMYFUNCTION("""COMPUTED_VALUE"""),"BS 36 REGIONAL NY")</f>
        <v>BS 36 REGIONAL NY</v>
      </c>
      <c r="I476" s="9">
        <f>IFERROR(__xludf.DUMMYFUNCTION("""COMPUTED_VALUE"""),44713.0)</f>
        <v>44713</v>
      </c>
      <c r="J476" s="9">
        <f>IFERROR(__xludf.DUMMYFUNCTION("""COMPUTED_VALUE"""),45809.0)</f>
        <v>45809</v>
      </c>
      <c r="K476" s="10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7" t="str">
        <f>IFERROR(__xludf.DUMMYFUNCTION("""COMPUTED_VALUE"""),"SHERBON")</f>
        <v>SHERBON</v>
      </c>
      <c r="B477" s="8" t="str">
        <f>IFERROR(__xludf.DUMMYFUNCTION("""COMPUTED_VALUE"""),"JESSE")</f>
        <v>JESSE</v>
      </c>
      <c r="C477" s="8" t="str">
        <f>IFERROR(__xludf.DUMMYFUNCTION("""COMPUTED_VALUE"""),"WATERLOO")</f>
        <v>WATERLOO</v>
      </c>
      <c r="D477" s="8" t="str">
        <f>IFERROR(__xludf.DUMMYFUNCTION("""COMPUTED_VALUE"""),"IA")</f>
        <v>IA</v>
      </c>
      <c r="E477" s="8" t="str">
        <f>IFERROR(__xludf.DUMMYFUNCTION("""COMPUTED_VALUE"""),"USA")</f>
        <v>USA</v>
      </c>
      <c r="F477" s="8" t="str">
        <f>IFERROR(__xludf.DUMMYFUNCTION("""COMPUTED_VALUE"""),"PRO DBLS 501")</f>
        <v>PRO DBLS 501</v>
      </c>
      <c r="G477" s="8" t="str">
        <f>IFERROR(__xludf.DUMMYFUNCTION("""COMPUTED_VALUE"""),"3RD")</f>
        <v>3RD</v>
      </c>
      <c r="H477" s="8" t="str">
        <f>IFERROR(__xludf.DUMMYFUNCTION("""COMPUTED_VALUE"""),"NE REGIONAL BS 38")</f>
        <v>NE REGIONAL BS 38</v>
      </c>
      <c r="I477" s="9">
        <f>IFERROR(__xludf.DUMMYFUNCTION("""COMPUTED_VALUE"""),45444.0)</f>
        <v>45444</v>
      </c>
      <c r="J477" s="9">
        <f>IFERROR(__xludf.DUMMYFUNCTION("""COMPUTED_VALUE"""),46539.0)</f>
        <v>46539</v>
      </c>
      <c r="K477" s="10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7" t="str">
        <f>IFERROR(__xludf.DUMMYFUNCTION("""COMPUTED_VALUE"""),"SHOLLENBERGER")</f>
        <v>SHOLLENBERGER</v>
      </c>
      <c r="B478" s="8" t="str">
        <f>IFERROR(__xludf.DUMMYFUNCTION("""COMPUTED_VALUE"""),"WILLIAM")</f>
        <v>WILLIAM</v>
      </c>
      <c r="C478" s="8" t="str">
        <f>IFERROR(__xludf.DUMMYFUNCTION("""COMPUTED_VALUE"""),"ASHLEY")</f>
        <v>ASHLEY</v>
      </c>
      <c r="D478" s="8" t="str">
        <f>IFERROR(__xludf.DUMMYFUNCTION("""COMPUTED_VALUE"""),"IL")</f>
        <v>IL</v>
      </c>
      <c r="E478" s="8" t="str">
        <f>IFERROR(__xludf.DUMMYFUNCTION("""COMPUTED_VALUE"""),"USA")</f>
        <v>USA</v>
      </c>
      <c r="F478" s="8" t="str">
        <f>IFERROR(__xludf.DUMMYFUNCTION("""COMPUTED_VALUE"""),"MEN 501 DBLS")</f>
        <v>MEN 501 DBLS</v>
      </c>
      <c r="G478" s="8" t="str">
        <f>IFERROR(__xludf.DUMMYFUNCTION("""COMPUTED_VALUE"""),"1")</f>
        <v>1</v>
      </c>
      <c r="H478" s="8" t="str">
        <f>IFERROR(__xludf.DUMMYFUNCTION("""COMPUTED_VALUE"""),"BS 37 IN")</f>
        <v>BS 37 IN</v>
      </c>
      <c r="I478" s="9">
        <f>IFERROR(__xludf.DUMMYFUNCTION("""COMPUTED_VALUE"""),45078.0)</f>
        <v>45078</v>
      </c>
      <c r="J478" s="9">
        <f>IFERROR(__xludf.DUMMYFUNCTION("""COMPUTED_VALUE"""),46174.0)</f>
        <v>46174</v>
      </c>
      <c r="K478" s="10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7" t="str">
        <f>IFERROR(__xludf.DUMMYFUNCTION("""COMPUTED_VALUE"""),"SHOWERS")</f>
        <v>SHOWERS</v>
      </c>
      <c r="B479" s="8" t="str">
        <f>IFERROR(__xludf.DUMMYFUNCTION("""COMPUTED_VALUE"""),"ROBERT")</f>
        <v>ROBERT</v>
      </c>
      <c r="C479" s="8" t="str">
        <f>IFERROR(__xludf.DUMMYFUNCTION("""COMPUTED_VALUE"""),"SANTEE")</f>
        <v>SANTEE</v>
      </c>
      <c r="D479" s="8"/>
      <c r="E479" s="8" t="str">
        <f>IFERROR(__xludf.DUMMYFUNCTION("""COMPUTED_VALUE"""),"CANADA")</f>
        <v>CANADA</v>
      </c>
      <c r="F479" s="8" t="str">
        <f>IFERROR(__xludf.DUMMYFUNCTION("""COMPUTED_VALUE"""),"PRO 501 DBLS")</f>
        <v>PRO 501 DBLS</v>
      </c>
      <c r="G479" s="8" t="str">
        <f>IFERROR(__xludf.DUMMYFUNCTION("""COMPUTED_VALUE"""),"1")</f>
        <v>1</v>
      </c>
      <c r="H479" s="8" t="str">
        <f>IFERROR(__xludf.DUMMYFUNCTION("""COMPUTED_VALUE"""),"BS 37 CA")</f>
        <v>BS 37 CA</v>
      </c>
      <c r="I479" s="9">
        <f>IFERROR(__xludf.DUMMYFUNCTION("""COMPUTED_VALUE"""),45078.0)</f>
        <v>45078</v>
      </c>
      <c r="J479" s="9">
        <f>IFERROR(__xludf.DUMMYFUNCTION("""COMPUTED_VALUE"""),46174.0)</f>
        <v>46174</v>
      </c>
      <c r="K479" s="10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7" t="str">
        <f>IFERROR(__xludf.DUMMYFUNCTION("""COMPUTED_VALUE"""),"SILVAS")</f>
        <v>SILVAS</v>
      </c>
      <c r="B480" s="8" t="str">
        <f>IFERROR(__xludf.DUMMYFUNCTION("""COMPUTED_VALUE"""),"MARKO")</f>
        <v>MARKO</v>
      </c>
      <c r="C480" s="8" t="str">
        <f>IFERROR(__xludf.DUMMYFUNCTION("""COMPUTED_VALUE"""),"TUCSON")</f>
        <v>TUCSON</v>
      </c>
      <c r="D480" s="8" t="str">
        <f>IFERROR(__xludf.DUMMYFUNCTION("""COMPUTED_VALUE"""),"AZ")</f>
        <v>AZ</v>
      </c>
      <c r="E480" s="8" t="str">
        <f>IFERROR(__xludf.DUMMYFUNCTION("""COMPUTED_VALUE"""),"USA")</f>
        <v>USA</v>
      </c>
      <c r="F480" s="8" t="str">
        <f>IFERROR(__xludf.DUMMYFUNCTION("""COMPUTED_VALUE"""),"MEN DBLS CRICKET")</f>
        <v>MEN DBLS CRICKET</v>
      </c>
      <c r="G480" s="8" t="str">
        <f>IFERROR(__xludf.DUMMYFUNCTION("""COMPUTED_VALUE"""),"1ST")</f>
        <v>1ST</v>
      </c>
      <c r="H480" s="8" t="str">
        <f>IFERROR(__xludf.DUMMYFUNCTION("""COMPUTED_VALUE"""),"AZ REGIONAL BS 38")</f>
        <v>AZ REGIONAL BS 38</v>
      </c>
      <c r="I480" s="9">
        <f>IFERROR(__xludf.DUMMYFUNCTION("""COMPUTED_VALUE"""),45444.0)</f>
        <v>45444</v>
      </c>
      <c r="J480" s="9">
        <f>IFERROR(__xludf.DUMMYFUNCTION("""COMPUTED_VALUE"""),46539.0)</f>
        <v>46539</v>
      </c>
      <c r="K480" s="10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7" t="str">
        <f>IFERROR(__xludf.DUMMYFUNCTION("""COMPUTED_VALUE"""),"Simon")</f>
        <v>Simon</v>
      </c>
      <c r="B481" s="8" t="str">
        <f>IFERROR(__xludf.DUMMYFUNCTION("""COMPUTED_VALUE"""),"Steve")</f>
        <v>Steve</v>
      </c>
      <c r="C481" s="8"/>
      <c r="D481" s="8" t="str">
        <f>IFERROR(__xludf.DUMMYFUNCTION("""COMPUTED_VALUE"""),"UNK")</f>
        <v>UNK</v>
      </c>
      <c r="E481" s="8" t="str">
        <f>IFERROR(__xludf.DUMMYFUNCTION("""COMPUTED_VALUE"""),"Belgium")</f>
        <v>Belgium</v>
      </c>
      <c r="F481" s="8" t="str">
        <f>IFERROR(__xludf.DUMMYFUNCTION("""COMPUTED_VALUE"""),"Known Pro")</f>
        <v>Known Pro</v>
      </c>
      <c r="G481" s="8"/>
      <c r="H481" s="8" t="str">
        <f>IFERROR(__xludf.DUMMYFUNCTION("""COMPUTED_VALUE"""),"Known Ability")</f>
        <v>Known Ability</v>
      </c>
      <c r="I481" s="9">
        <f>IFERROR(__xludf.DUMMYFUNCTION("""COMPUTED_VALUE"""),36892.0)</f>
        <v>36892</v>
      </c>
      <c r="J481" s="9">
        <f>IFERROR(__xludf.DUMMYFUNCTION("""COMPUTED_VALUE"""),47635.0)</f>
        <v>47635</v>
      </c>
      <c r="K481" s="10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7" t="str">
        <f>IFERROR(__xludf.DUMMYFUNCTION("""COMPUTED_VALUE"""),"SMITH")</f>
        <v>SMITH</v>
      </c>
      <c r="B482" s="8" t="str">
        <f>IFERROR(__xludf.DUMMYFUNCTION("""COMPUTED_VALUE"""),"JACOB")</f>
        <v>JACOB</v>
      </c>
      <c r="C482" s="8" t="str">
        <f>IFERROR(__xludf.DUMMYFUNCTION("""COMPUTED_VALUE"""),"SIOUX FALLS")</f>
        <v>SIOUX FALLS</v>
      </c>
      <c r="D482" s="8" t="str">
        <f>IFERROR(__xludf.DUMMYFUNCTION("""COMPUTED_VALUE"""),"SD")</f>
        <v>SD</v>
      </c>
      <c r="E482" s="8" t="str">
        <f>IFERROR(__xludf.DUMMYFUNCTION("""COMPUTED_VALUE"""),"USA")</f>
        <v>USA</v>
      </c>
      <c r="F482" s="8" t="str">
        <f>IFERROR(__xludf.DUMMYFUNCTION("""COMPUTED_VALUE"""),"MIXED 701 TRIPLES")</f>
        <v>MIXED 701 TRIPLES</v>
      </c>
      <c r="G482" s="8" t="str">
        <f>IFERROR(__xludf.DUMMYFUNCTION("""COMPUTED_VALUE"""),"1")</f>
        <v>1</v>
      </c>
      <c r="H482" s="8" t="str">
        <f>IFERROR(__xludf.DUMMYFUNCTION("""COMPUTED_VALUE"""),"BS 37 NE")</f>
        <v>BS 37 NE</v>
      </c>
      <c r="I482" s="9">
        <f>IFERROR(__xludf.DUMMYFUNCTION("""COMPUTED_VALUE"""),45078.0)</f>
        <v>45078</v>
      </c>
      <c r="J482" s="9">
        <f>IFERROR(__xludf.DUMMYFUNCTION("""COMPUTED_VALUE"""),46174.0)</f>
        <v>46174</v>
      </c>
      <c r="K482" s="10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7" t="str">
        <f>IFERROR(__xludf.DUMMYFUNCTION("""COMPUTED_VALUE"""),"SOLTERO")</f>
        <v>SOLTERO</v>
      </c>
      <c r="B483" s="8" t="str">
        <f>IFERROR(__xludf.DUMMYFUNCTION("""COMPUTED_VALUE"""),"FRANCISCO")</f>
        <v>FRANCISCO</v>
      </c>
      <c r="C483" s="8" t="str">
        <f>IFERROR(__xludf.DUMMYFUNCTION("""COMPUTED_VALUE"""),"ROCKFORD")</f>
        <v>ROCKFORD</v>
      </c>
      <c r="D483" s="8" t="str">
        <f>IFERROR(__xludf.DUMMYFUNCTION("""COMPUTED_VALUE"""),"IL")</f>
        <v>IL</v>
      </c>
      <c r="E483" s="8" t="str">
        <f>IFERROR(__xludf.DUMMYFUNCTION("""COMPUTED_VALUE"""),"USA")</f>
        <v>USA</v>
      </c>
      <c r="F483" s="8" t="str">
        <f>IFERROR(__xludf.DUMMYFUNCTION("""COMPUTED_VALUE"""),"MIXED TRIPLES 701")</f>
        <v>MIXED TRIPLES 701</v>
      </c>
      <c r="G483" s="8" t="str">
        <f>IFERROR(__xludf.DUMMYFUNCTION("""COMPUTED_VALUE"""),"1ST")</f>
        <v>1ST</v>
      </c>
      <c r="H483" s="8" t="str">
        <f>IFERROR(__xludf.DUMMYFUNCTION("""COMPUTED_VALUE"""),"BS 36 REGIONAL SC")</f>
        <v>BS 36 REGIONAL SC</v>
      </c>
      <c r="I483" s="9">
        <f>IFERROR(__xludf.DUMMYFUNCTION("""COMPUTED_VALUE"""),44713.0)</f>
        <v>44713</v>
      </c>
      <c r="J483" s="9">
        <f>IFERROR(__xludf.DUMMYFUNCTION("""COMPUTED_VALUE"""),45809.0)</f>
        <v>45809</v>
      </c>
      <c r="K483" s="10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7" t="str">
        <f>IFERROR(__xludf.DUMMYFUNCTION("""COMPUTED_VALUE"""),"SOLTYS")</f>
        <v>SOLTYS</v>
      </c>
      <c r="B484" s="8" t="str">
        <f>IFERROR(__xludf.DUMMYFUNCTION("""COMPUTED_VALUE"""),"ROBERT")</f>
        <v>ROBERT</v>
      </c>
      <c r="C484" s="8" t="str">
        <f>IFERROR(__xludf.DUMMYFUNCTION("""COMPUTED_VALUE"""),"SIMPSONVILLE")</f>
        <v>SIMPSONVILLE</v>
      </c>
      <c r="D484" s="8" t="str">
        <f>IFERROR(__xludf.DUMMYFUNCTION("""COMPUTED_VALUE"""),"SC")</f>
        <v>SC</v>
      </c>
      <c r="E484" s="8" t="str">
        <f>IFERROR(__xludf.DUMMYFUNCTION("""COMPUTED_VALUE"""),"USA")</f>
        <v>USA</v>
      </c>
      <c r="F484" s="8" t="str">
        <f>IFERROR(__xludf.DUMMYFUNCTION("""COMPUTED_VALUE"""),"MENS PRO DBLS 501")</f>
        <v>MENS PRO DBLS 501</v>
      </c>
      <c r="G484" s="8" t="str">
        <f>IFERROR(__xludf.DUMMYFUNCTION("""COMPUTED_VALUE"""),"3RD")</f>
        <v>3RD</v>
      </c>
      <c r="H484" s="8" t="str">
        <f>IFERROR(__xludf.DUMMYFUNCTION("""COMPUTED_VALUE"""),"BS 36 REGIONAL SC")</f>
        <v>BS 36 REGIONAL SC</v>
      </c>
      <c r="I484" s="9">
        <f>IFERROR(__xludf.DUMMYFUNCTION("""COMPUTED_VALUE"""),44713.0)</f>
        <v>44713</v>
      </c>
      <c r="J484" s="9">
        <f>IFERROR(__xludf.DUMMYFUNCTION("""COMPUTED_VALUE"""),45809.0)</f>
        <v>45809</v>
      </c>
      <c r="K484" s="10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7" t="str">
        <f>IFERROR(__xludf.DUMMYFUNCTION("""COMPUTED_VALUE"""),"SOOHEY")</f>
        <v>SOOHEY</v>
      </c>
      <c r="B485" s="8" t="str">
        <f>IFERROR(__xludf.DUMMYFUNCTION("""COMPUTED_VALUE"""),"BRIAN")</f>
        <v>BRIAN</v>
      </c>
      <c r="C485" s="8" t="str">
        <f>IFERROR(__xludf.DUMMYFUNCTION("""COMPUTED_VALUE"""),"BARBERTON")</f>
        <v>BARBERTON</v>
      </c>
      <c r="D485" s="8" t="str">
        <f>IFERROR(__xludf.DUMMYFUNCTION("""COMPUTED_VALUE"""),"OH")</f>
        <v>OH</v>
      </c>
      <c r="E485" s="8" t="str">
        <f>IFERROR(__xludf.DUMMYFUNCTION("""COMPUTED_VALUE"""),"USA")</f>
        <v>USA</v>
      </c>
      <c r="F485" s="8" t="str">
        <f>IFERROR(__xludf.DUMMYFUNCTION("""COMPUTED_VALUE"""),"MENS DBLS 501")</f>
        <v>MENS DBLS 501</v>
      </c>
      <c r="G485" s="8" t="str">
        <f>IFERROR(__xludf.DUMMYFUNCTION("""COMPUTED_VALUE"""),"3RD")</f>
        <v>3RD</v>
      </c>
      <c r="H485" s="8" t="str">
        <f>IFERROR(__xludf.DUMMYFUNCTION("""COMPUTED_VALUE"""),"BS 36 REGIONAL PA")</f>
        <v>BS 36 REGIONAL PA</v>
      </c>
      <c r="I485" s="9">
        <f>IFERROR(__xludf.DUMMYFUNCTION("""COMPUTED_VALUE"""),44713.0)</f>
        <v>44713</v>
      </c>
      <c r="J485" s="9">
        <f>IFERROR(__xludf.DUMMYFUNCTION("""COMPUTED_VALUE"""),45809.0)</f>
        <v>45809</v>
      </c>
      <c r="K485" s="10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7" t="str">
        <f>IFERROR(__xludf.DUMMYFUNCTION("""COMPUTED_VALUE"""),"SOROCHMAN")</f>
        <v>SOROCHMAN</v>
      </c>
      <c r="B486" s="8" t="str">
        <f>IFERROR(__xludf.DUMMYFUNCTION("""COMPUTED_VALUE"""),"STEPHEN")</f>
        <v>STEPHEN</v>
      </c>
      <c r="C486" s="8" t="str">
        <f>IFERROR(__xludf.DUMMYFUNCTION("""COMPUTED_VALUE"""),"MCKEES ROCK")</f>
        <v>MCKEES ROCK</v>
      </c>
      <c r="D486" s="8" t="str">
        <f>IFERROR(__xludf.DUMMYFUNCTION("""COMPUTED_VALUE"""),"PA")</f>
        <v>PA</v>
      </c>
      <c r="E486" s="8" t="str">
        <f>IFERROR(__xludf.DUMMYFUNCTION("""COMPUTED_VALUE"""),"USA")</f>
        <v>USA</v>
      </c>
      <c r="F486" s="8" t="str">
        <f>IFERROR(__xludf.DUMMYFUNCTION("""COMPUTED_VALUE"""),"PRO/AM CRICKET")</f>
        <v>PRO/AM CRICKET</v>
      </c>
      <c r="G486" s="8" t="str">
        <f>IFERROR(__xludf.DUMMYFUNCTION("""COMPUTED_VALUE"""),"3")</f>
        <v>3</v>
      </c>
      <c r="H486" s="8" t="str">
        <f>IFERROR(__xludf.DUMMYFUNCTION("""COMPUTED_VALUE"""),"BS 37 PA")</f>
        <v>BS 37 PA</v>
      </c>
      <c r="I486" s="9">
        <f>IFERROR(__xludf.DUMMYFUNCTION("""COMPUTED_VALUE"""),45078.0)</f>
        <v>45078</v>
      </c>
      <c r="J486" s="9">
        <f>IFERROR(__xludf.DUMMYFUNCTION("""COMPUTED_VALUE"""),46174.0)</f>
        <v>46174</v>
      </c>
      <c r="K486" s="10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7" t="str">
        <f>IFERROR(__xludf.DUMMYFUNCTION("""COMPUTED_VALUE"""),"SOTO")</f>
        <v>SOTO</v>
      </c>
      <c r="B487" s="8" t="str">
        <f>IFERROR(__xludf.DUMMYFUNCTION("""COMPUTED_VALUE"""),"CRAID")</f>
        <v>CRAID</v>
      </c>
      <c r="C487" s="8" t="str">
        <f>IFERROR(__xludf.DUMMYFUNCTION("""COMPUTED_VALUE"""),"COLORADO SPRINGS")</f>
        <v>COLORADO SPRINGS</v>
      </c>
      <c r="D487" s="8" t="str">
        <f>IFERROR(__xludf.DUMMYFUNCTION("""COMPUTED_VALUE"""),"CO")</f>
        <v>CO</v>
      </c>
      <c r="E487" s="8" t="str">
        <f>IFERROR(__xludf.DUMMYFUNCTION("""COMPUTED_VALUE"""),"USA")</f>
        <v>USA</v>
      </c>
      <c r="F487" s="8" t="str">
        <f>IFERROR(__xludf.DUMMYFUNCTION("""COMPUTED_VALUE"""),"MENS SINGLES CRICKET")</f>
        <v>MENS SINGLES CRICKET</v>
      </c>
      <c r="G487" s="8" t="str">
        <f>IFERROR(__xludf.DUMMYFUNCTION("""COMPUTED_VALUE"""),"2ND")</f>
        <v>2ND</v>
      </c>
      <c r="H487" s="8" t="str">
        <f>IFERROR(__xludf.DUMMYFUNCTION("""COMPUTED_VALUE"""),"BS 36 REGIONAL WY")</f>
        <v>BS 36 REGIONAL WY</v>
      </c>
      <c r="I487" s="9">
        <f>IFERROR(__xludf.DUMMYFUNCTION("""COMPUTED_VALUE"""),44713.0)</f>
        <v>44713</v>
      </c>
      <c r="J487" s="9">
        <f>IFERROR(__xludf.DUMMYFUNCTION("""COMPUTED_VALUE"""),45809.0)</f>
        <v>45809</v>
      </c>
      <c r="K487" s="10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7" t="str">
        <f>IFERROR(__xludf.DUMMYFUNCTION("""COMPUTED_VALUE"""),"SPENCER")</f>
        <v>SPENCER</v>
      </c>
      <c r="B488" s="8" t="str">
        <f>IFERROR(__xludf.DUMMYFUNCTION("""COMPUTED_VALUE"""),"DONALD")</f>
        <v>DONALD</v>
      </c>
      <c r="C488" s="8" t="str">
        <f>IFERROR(__xludf.DUMMYFUNCTION("""COMPUTED_VALUE"""),"LAKELAND")</f>
        <v>LAKELAND</v>
      </c>
      <c r="D488" s="8" t="str">
        <f>IFERROR(__xludf.DUMMYFUNCTION("""COMPUTED_VALUE"""),"FL")</f>
        <v>FL</v>
      </c>
      <c r="E488" s="8" t="str">
        <f>IFERROR(__xludf.DUMMYFUNCTION("""COMPUTED_VALUE"""),"USA")</f>
        <v>USA</v>
      </c>
      <c r="F488" s="8" t="str">
        <f>IFERROR(__xludf.DUMMYFUNCTION("""COMPUTED_VALUE"""),"MENS DBLS CRICKET")</f>
        <v>MENS DBLS CRICKET</v>
      </c>
      <c r="G488" s="8" t="str">
        <f>IFERROR(__xludf.DUMMYFUNCTION("""COMPUTED_VALUE"""),"1ST")</f>
        <v>1ST</v>
      </c>
      <c r="H488" s="8" t="str">
        <f>IFERROR(__xludf.DUMMYFUNCTION("""COMPUTED_VALUE"""),"BS 36 REGIONAL FL")</f>
        <v>BS 36 REGIONAL FL</v>
      </c>
      <c r="I488" s="9">
        <f>IFERROR(__xludf.DUMMYFUNCTION("""COMPUTED_VALUE"""),44713.0)</f>
        <v>44713</v>
      </c>
      <c r="J488" s="9">
        <f>IFERROR(__xludf.DUMMYFUNCTION("""COMPUTED_VALUE"""),45809.0)</f>
        <v>45809</v>
      </c>
      <c r="K488" s="10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7" t="str">
        <f>IFERROR(__xludf.DUMMYFUNCTION("""COMPUTED_VALUE"""),"SPRINGER JR")</f>
        <v>SPRINGER JR</v>
      </c>
      <c r="B489" s="8" t="str">
        <f>IFERROR(__xludf.DUMMYFUNCTION("""COMPUTED_VALUE"""),"JEFF")</f>
        <v>JEFF</v>
      </c>
      <c r="C489" s="8" t="str">
        <f>IFERROR(__xludf.DUMMYFUNCTION("""COMPUTED_VALUE"""),"BOTHEL")</f>
        <v>BOTHEL</v>
      </c>
      <c r="D489" s="8" t="str">
        <f>IFERROR(__xludf.DUMMYFUNCTION("""COMPUTED_VALUE"""),"WA")</f>
        <v>WA</v>
      </c>
      <c r="E489" s="8" t="str">
        <f>IFERROR(__xludf.DUMMYFUNCTION("""COMPUTED_VALUE"""),"USA")</f>
        <v>USA</v>
      </c>
      <c r="F489" s="8" t="str">
        <f>IFERROR(__xludf.DUMMYFUNCTION("""COMPUTED_VALUE"""),"MEN DBLS CRICKET")</f>
        <v>MEN DBLS CRICKET</v>
      </c>
      <c r="G489" s="8" t="str">
        <f>IFERROR(__xludf.DUMMYFUNCTION("""COMPUTED_VALUE"""),"1")</f>
        <v>1</v>
      </c>
      <c r="H489" s="8" t="str">
        <f>IFERROR(__xludf.DUMMYFUNCTION("""COMPUTED_VALUE"""),"WA REGIONAL BS 38")</f>
        <v>WA REGIONAL BS 38</v>
      </c>
      <c r="I489" s="9">
        <f>IFERROR(__xludf.DUMMYFUNCTION("""COMPUTED_VALUE"""),45444.0)</f>
        <v>45444</v>
      </c>
      <c r="J489" s="9">
        <f>IFERROR(__xludf.DUMMYFUNCTION("""COMPUTED_VALUE"""),46539.0)</f>
        <v>46539</v>
      </c>
      <c r="K489" s="10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7" t="str">
        <f>IFERROR(__xludf.DUMMYFUNCTION("""COMPUTED_VALUE"""),"Spry")</f>
        <v>Spry</v>
      </c>
      <c r="B490" s="8" t="str">
        <f>IFERROR(__xludf.DUMMYFUNCTION("""COMPUTED_VALUE"""),"Jason")</f>
        <v>Jason</v>
      </c>
      <c r="C490" s="8"/>
      <c r="D490" s="8"/>
      <c r="E490" s="8" t="str">
        <f>IFERROR(__xludf.DUMMYFUNCTION("""COMPUTED_VALUE"""),"USA")</f>
        <v>USA</v>
      </c>
      <c r="F490" s="8"/>
      <c r="G490" s="8"/>
      <c r="H490" s="8" t="str">
        <f>IFERROR(__xludf.DUMMYFUNCTION("""COMPUTED_VALUE"""),"ADO Top 25 2020")</f>
        <v>ADO Top 25 2020</v>
      </c>
      <c r="I490" s="9">
        <f>IFERROR(__xludf.DUMMYFUNCTION("""COMPUTED_VALUE"""),44348.0)</f>
        <v>44348</v>
      </c>
      <c r="J490" s="9">
        <f>IFERROR(__xludf.DUMMYFUNCTION("""COMPUTED_VALUE"""),46539.0)</f>
        <v>46539</v>
      </c>
      <c r="K490" s="10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7" t="str">
        <f>IFERROR(__xludf.DUMMYFUNCTION("""COMPUTED_VALUE"""),"STADLER")</f>
        <v>STADLER</v>
      </c>
      <c r="B491" s="8" t="str">
        <f>IFERROR(__xludf.DUMMYFUNCTION("""COMPUTED_VALUE"""),"MIKE")</f>
        <v>MIKE</v>
      </c>
      <c r="C491" s="8" t="str">
        <f>IFERROR(__xludf.DUMMYFUNCTION("""COMPUTED_VALUE"""),"FALL RIVER")</f>
        <v>FALL RIVER</v>
      </c>
      <c r="D491" s="8" t="str">
        <f>IFERROR(__xludf.DUMMYFUNCTION("""COMPUTED_VALUE"""),"WI")</f>
        <v>WI</v>
      </c>
      <c r="E491" s="8" t="str">
        <f>IFERROR(__xludf.DUMMYFUNCTION("""COMPUTED_VALUE"""),"USA")</f>
        <v>USA</v>
      </c>
      <c r="F491" s="8" t="str">
        <f>IFERROR(__xludf.DUMMYFUNCTION("""COMPUTED_VALUE"""),"MEN 501 DBLS")</f>
        <v>MEN 501 DBLS</v>
      </c>
      <c r="G491" s="8" t="str">
        <f>IFERROR(__xludf.DUMMYFUNCTION("""COMPUTED_VALUE"""),"3")</f>
        <v>3</v>
      </c>
      <c r="H491" s="8" t="str">
        <f>IFERROR(__xludf.DUMMYFUNCTION("""COMPUTED_VALUE"""),"BS 37 FINALS")</f>
        <v>BS 37 FINALS</v>
      </c>
      <c r="I491" s="9">
        <f>IFERROR(__xludf.DUMMYFUNCTION("""COMPUTED_VALUE"""),45078.0)</f>
        <v>45078</v>
      </c>
      <c r="J491" s="9">
        <f>IFERROR(__xludf.DUMMYFUNCTION("""COMPUTED_VALUE"""),46174.0)</f>
        <v>46174</v>
      </c>
      <c r="K491" s="10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7" t="str">
        <f>IFERROR(__xludf.DUMMYFUNCTION("""COMPUTED_VALUE"""),"STEINKE")</f>
        <v>STEINKE</v>
      </c>
      <c r="B492" s="8" t="str">
        <f>IFERROR(__xludf.DUMMYFUNCTION("""COMPUTED_VALUE"""),"DYLIN")</f>
        <v>DYLIN</v>
      </c>
      <c r="C492" s="8" t="str">
        <f>IFERROR(__xludf.DUMMYFUNCTION("""COMPUTED_VALUE"""),"EAU CLAIRE")</f>
        <v>EAU CLAIRE</v>
      </c>
      <c r="D492" s="8" t="str">
        <f>IFERROR(__xludf.DUMMYFUNCTION("""COMPUTED_VALUE"""),"WI")</f>
        <v>WI</v>
      </c>
      <c r="E492" s="8" t="str">
        <f>IFERROR(__xludf.DUMMYFUNCTION("""COMPUTED_VALUE"""),"USA")</f>
        <v>USA</v>
      </c>
      <c r="F492" s="8" t="str">
        <f>IFERROR(__xludf.DUMMYFUNCTION("""COMPUTED_VALUE"""),"MEN SNG CRICKET")</f>
        <v>MEN SNG CRICKET</v>
      </c>
      <c r="G492" s="8" t="str">
        <f>IFERROR(__xludf.DUMMYFUNCTION("""COMPUTED_VALUE"""),"3RD")</f>
        <v>3RD</v>
      </c>
      <c r="H492" s="8" t="str">
        <f>IFERROR(__xludf.DUMMYFUNCTION("""COMPUTED_VALUE"""),"NE REGIONAL BS 38")</f>
        <v>NE REGIONAL BS 38</v>
      </c>
      <c r="I492" s="9">
        <f>IFERROR(__xludf.DUMMYFUNCTION("""COMPUTED_VALUE"""),45444.0)</f>
        <v>45444</v>
      </c>
      <c r="J492" s="9">
        <f>IFERROR(__xludf.DUMMYFUNCTION("""COMPUTED_VALUE"""),46539.0)</f>
        <v>46539</v>
      </c>
      <c r="K492" s="10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7" t="str">
        <f>IFERROR(__xludf.DUMMYFUNCTION("""COMPUTED_VALUE"""),"Stephano")</f>
        <v>Stephano</v>
      </c>
      <c r="B493" s="8" t="str">
        <f>IFERROR(__xludf.DUMMYFUNCTION("""COMPUTED_VALUE"""),"Seth")</f>
        <v>Seth</v>
      </c>
      <c r="C493" s="8"/>
      <c r="D493" s="8"/>
      <c r="E493" s="8" t="str">
        <f>IFERROR(__xludf.DUMMYFUNCTION("""COMPUTED_VALUE"""),"USA")</f>
        <v>USA</v>
      </c>
      <c r="F493" s="8"/>
      <c r="G493" s="8"/>
      <c r="H493" s="8" t="str">
        <f>IFERROR(__xludf.DUMMYFUNCTION("""COMPUTED_VALUE"""),"ADO Top 20 2021")</f>
        <v>ADO Top 20 2021</v>
      </c>
      <c r="I493" s="9">
        <f>IFERROR(__xludf.DUMMYFUNCTION("""COMPUTED_VALUE"""),44348.0)</f>
        <v>44348</v>
      </c>
      <c r="J493" s="9">
        <f>IFERROR(__xludf.DUMMYFUNCTION("""COMPUTED_VALUE"""),46539.0)</f>
        <v>46539</v>
      </c>
      <c r="K493" s="10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7" t="str">
        <f>IFERROR(__xludf.DUMMYFUNCTION("""COMPUTED_VALUE"""),"STEVENS")</f>
        <v>STEVENS</v>
      </c>
      <c r="B494" s="8" t="str">
        <f>IFERROR(__xludf.DUMMYFUNCTION("""COMPUTED_VALUE"""),"JIM")</f>
        <v>JIM</v>
      </c>
      <c r="C494" s="8" t="str">
        <f>IFERROR(__xludf.DUMMYFUNCTION("""COMPUTED_VALUE"""),"RILEY")</f>
        <v>RILEY</v>
      </c>
      <c r="D494" s="8" t="str">
        <f>IFERROR(__xludf.DUMMYFUNCTION("""COMPUTED_VALUE"""),"KS")</f>
        <v>KS</v>
      </c>
      <c r="E494" s="8" t="str">
        <f>IFERROR(__xludf.DUMMYFUNCTION("""COMPUTED_VALUE"""),"USA")</f>
        <v>USA</v>
      </c>
      <c r="F494" s="8" t="str">
        <f>IFERROR(__xludf.DUMMYFUNCTION("""COMPUTED_VALUE"""),"MENS DBLS CRICKET")</f>
        <v>MENS DBLS CRICKET</v>
      </c>
      <c r="G494" s="8" t="str">
        <f>IFERROR(__xludf.DUMMYFUNCTION("""COMPUTED_VALUE"""),"2ND")</f>
        <v>2ND</v>
      </c>
      <c r="H494" s="8" t="str">
        <f>IFERROR(__xludf.DUMMYFUNCTION("""COMPUTED_VALUE"""),"BS 36 REGIONAL NE")</f>
        <v>BS 36 REGIONAL NE</v>
      </c>
      <c r="I494" s="9">
        <f>IFERROR(__xludf.DUMMYFUNCTION("""COMPUTED_VALUE"""),44713.0)</f>
        <v>44713</v>
      </c>
      <c r="J494" s="9">
        <f>IFERROR(__xludf.DUMMYFUNCTION("""COMPUTED_VALUE"""),45809.0)</f>
        <v>45809</v>
      </c>
      <c r="K494" s="10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7" t="str">
        <f>IFERROR(__xludf.DUMMYFUNCTION("""COMPUTED_VALUE"""),"Stewart")</f>
        <v>Stewart</v>
      </c>
      <c r="B495" s="8" t="str">
        <f>IFERROR(__xludf.DUMMYFUNCTION("""COMPUTED_VALUE"""),"Don")</f>
        <v>Don</v>
      </c>
      <c r="C495" s="8" t="str">
        <f>IFERROR(__xludf.DUMMYFUNCTION("""COMPUTED_VALUE"""),"Franklin")</f>
        <v>Franklin</v>
      </c>
      <c r="D495" s="8" t="str">
        <f>IFERROR(__xludf.DUMMYFUNCTION("""COMPUTED_VALUE"""),"WI")</f>
        <v>WI</v>
      </c>
      <c r="E495" s="8" t="str">
        <f>IFERROR(__xludf.DUMMYFUNCTION("""COMPUTED_VALUE"""),"USA")</f>
        <v>USA</v>
      </c>
      <c r="F495" s="8" t="str">
        <f>IFERROR(__xludf.DUMMYFUNCTION("""COMPUTED_VALUE"""),"Pro Doubles 501")</f>
        <v>Pro Doubles 501</v>
      </c>
      <c r="G495" s="8" t="str">
        <f>IFERROR(__xludf.DUMMYFUNCTION("""COMPUTED_VALUE"""),"1st")</f>
        <v>1st</v>
      </c>
      <c r="H495" s="8" t="str">
        <f>IFERROR(__xludf.DUMMYFUNCTION("""COMPUTED_VALUE"""),"Wisconsin BS 34")</f>
        <v>Wisconsin BS 34</v>
      </c>
      <c r="I495" s="9">
        <f>IFERROR(__xludf.DUMMYFUNCTION("""COMPUTED_VALUE"""),43617.0)</f>
        <v>43617</v>
      </c>
      <c r="J495" s="9">
        <f>IFERROR(__xludf.DUMMYFUNCTION("""COMPUTED_VALUE"""),45809.0)</f>
        <v>45809</v>
      </c>
      <c r="K495" s="10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7" t="str">
        <f>IFERROR(__xludf.DUMMYFUNCTION("""COMPUTED_VALUE"""),"STEWART")</f>
        <v>STEWART</v>
      </c>
      <c r="B496" s="8" t="str">
        <f>IFERROR(__xludf.DUMMYFUNCTION("""COMPUTED_VALUE"""),"DONNY")</f>
        <v>DONNY</v>
      </c>
      <c r="C496" s="8" t="str">
        <f>IFERROR(__xludf.DUMMYFUNCTION("""COMPUTED_VALUE"""),"FRANKLIN")</f>
        <v>FRANKLIN</v>
      </c>
      <c r="D496" s="8" t="str">
        <f>IFERROR(__xludf.DUMMYFUNCTION("""COMPUTED_VALUE"""),"WI")</f>
        <v>WI</v>
      </c>
      <c r="E496" s="8" t="str">
        <f>IFERROR(__xludf.DUMMYFUNCTION("""COMPUTED_VALUE"""),"USA")</f>
        <v>USA</v>
      </c>
      <c r="F496" s="8" t="str">
        <f>IFERROR(__xludf.DUMMYFUNCTION("""COMPUTED_VALUE"""),"PRO SINGLES")</f>
        <v>PRO SINGLES</v>
      </c>
      <c r="G496" s="8" t="str">
        <f>IFERROR(__xludf.DUMMYFUNCTION("""COMPUTED_VALUE"""),"2")</f>
        <v>2</v>
      </c>
      <c r="H496" s="8" t="str">
        <f>IFERROR(__xludf.DUMMYFUNCTION("""COMPUTED_VALUE"""),"BS 37 PA")</f>
        <v>BS 37 PA</v>
      </c>
      <c r="I496" s="9">
        <f>IFERROR(__xludf.DUMMYFUNCTION("""COMPUTED_VALUE"""),45078.0)</f>
        <v>45078</v>
      </c>
      <c r="J496" s="9">
        <f>IFERROR(__xludf.DUMMYFUNCTION("""COMPUTED_VALUE"""),46174.0)</f>
        <v>46174</v>
      </c>
      <c r="K496" s="10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7" t="str">
        <f>IFERROR(__xludf.DUMMYFUNCTION("""COMPUTED_VALUE"""),"STILLWAGON")</f>
        <v>STILLWAGON</v>
      </c>
      <c r="B497" s="8" t="str">
        <f>IFERROR(__xludf.DUMMYFUNCTION("""COMPUTED_VALUE"""),"NICHOLAS")</f>
        <v>NICHOLAS</v>
      </c>
      <c r="C497" s="8" t="str">
        <f>IFERROR(__xludf.DUMMYFUNCTION("""COMPUTED_VALUE"""),"CONNELLSVILLE")</f>
        <v>CONNELLSVILLE</v>
      </c>
      <c r="D497" s="8" t="str">
        <f>IFERROR(__xludf.DUMMYFUNCTION("""COMPUTED_VALUE"""),"PA")</f>
        <v>PA</v>
      </c>
      <c r="E497" s="8" t="str">
        <f>IFERROR(__xludf.DUMMYFUNCTION("""COMPUTED_VALUE"""),"USA")</f>
        <v>USA</v>
      </c>
      <c r="F497" s="8" t="str">
        <f>IFERROR(__xludf.DUMMYFUNCTION("""COMPUTED_VALUE"""),"MEN 501 DBLS")</f>
        <v>MEN 501 DBLS</v>
      </c>
      <c r="G497" s="8" t="str">
        <f>IFERROR(__xludf.DUMMYFUNCTION("""COMPUTED_VALUE"""),"1")</f>
        <v>1</v>
      </c>
      <c r="H497" s="8" t="str">
        <f>IFERROR(__xludf.DUMMYFUNCTION("""COMPUTED_VALUE"""),"BS 37 PA")</f>
        <v>BS 37 PA</v>
      </c>
      <c r="I497" s="9">
        <f>IFERROR(__xludf.DUMMYFUNCTION("""COMPUTED_VALUE"""),45078.0)</f>
        <v>45078</v>
      </c>
      <c r="J497" s="9">
        <f>IFERROR(__xludf.DUMMYFUNCTION("""COMPUTED_VALUE"""),46174.0)</f>
        <v>46174</v>
      </c>
      <c r="K497" s="1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7" t="str">
        <f>IFERROR(__xludf.DUMMYFUNCTION("""COMPUTED_VALUE"""),"STORTZ")</f>
        <v>STORTZ</v>
      </c>
      <c r="B498" s="8" t="str">
        <f>IFERROR(__xludf.DUMMYFUNCTION("""COMPUTED_VALUE"""),"STEPHAN")</f>
        <v>STEPHAN</v>
      </c>
      <c r="C498" s="8" t="str">
        <f>IFERROR(__xludf.DUMMYFUNCTION("""COMPUTED_VALUE"""),"FORT ATKINSON")</f>
        <v>FORT ATKINSON</v>
      </c>
      <c r="D498" s="8" t="str">
        <f>IFERROR(__xludf.DUMMYFUNCTION("""COMPUTED_VALUE"""),"WI")</f>
        <v>WI</v>
      </c>
      <c r="E498" s="8" t="str">
        <f>IFERROR(__xludf.DUMMYFUNCTION("""COMPUTED_VALUE"""),"USA")</f>
        <v>USA</v>
      </c>
      <c r="F498" s="8" t="str">
        <f>IFERROR(__xludf.DUMMYFUNCTION("""COMPUTED_VALUE"""),"MENS SINGLES CRICKET")</f>
        <v>MENS SINGLES CRICKET</v>
      </c>
      <c r="G498" s="8" t="str">
        <f>IFERROR(__xludf.DUMMYFUNCTION("""COMPUTED_VALUE"""),"2ND")</f>
        <v>2ND</v>
      </c>
      <c r="H498" s="8" t="str">
        <f>IFERROR(__xludf.DUMMYFUNCTION("""COMPUTED_VALUE"""),"BS 36 REGIONAL TX")</f>
        <v>BS 36 REGIONAL TX</v>
      </c>
      <c r="I498" s="9">
        <f>IFERROR(__xludf.DUMMYFUNCTION("""COMPUTED_VALUE"""),44713.0)</f>
        <v>44713</v>
      </c>
      <c r="J498" s="9">
        <f>IFERROR(__xludf.DUMMYFUNCTION("""COMPUTED_VALUE"""),45809.0)</f>
        <v>45809</v>
      </c>
      <c r="K498" s="1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11" t="str">
        <f>IFERROR(__xludf.DUMMYFUNCTION("""COMPUTED_VALUE"""),"STRATTON")</f>
        <v>STRATTON</v>
      </c>
      <c r="B499" s="12" t="str">
        <f>IFERROR(__xludf.DUMMYFUNCTION("""COMPUTED_VALUE"""),"TRAVIS")</f>
        <v>TRAVIS</v>
      </c>
      <c r="C499" s="12" t="str">
        <f>IFERROR(__xludf.DUMMYFUNCTION("""COMPUTED_VALUE"""),"BURLINGTON")</f>
        <v>BURLINGTON</v>
      </c>
      <c r="D499" s="12" t="str">
        <f>IFERROR(__xludf.DUMMYFUNCTION("""COMPUTED_VALUE"""),"IA")</f>
        <v>IA</v>
      </c>
      <c r="E499" s="12" t="str">
        <f>IFERROR(__xludf.DUMMYFUNCTION("""COMPUTED_VALUE"""),"USA")</f>
        <v>USA</v>
      </c>
      <c r="F499" s="12" t="str">
        <f>IFERROR(__xludf.DUMMYFUNCTION("""COMPUTED_VALUE"""),"MEN DBLS 501")</f>
        <v>MEN DBLS 501</v>
      </c>
      <c r="G499" s="12" t="str">
        <f>IFERROR(__xludf.DUMMYFUNCTION("""COMPUTED_VALUE"""),"1ST")</f>
        <v>1ST</v>
      </c>
      <c r="H499" s="12" t="str">
        <f>IFERROR(__xludf.DUMMYFUNCTION("""COMPUTED_VALUE"""),"NE REGIONAL BS 38")</f>
        <v>NE REGIONAL BS 38</v>
      </c>
      <c r="I499" s="14">
        <f>IFERROR(__xludf.DUMMYFUNCTION("""COMPUTED_VALUE"""),45444.0)</f>
        <v>45444</v>
      </c>
      <c r="J499" s="14">
        <f>IFERROR(__xludf.DUMMYFUNCTION("""COMPUTED_VALUE"""),46539.0)</f>
        <v>46539</v>
      </c>
      <c r="K499" s="1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7" t="str">
        <f>IFERROR(__xludf.DUMMYFUNCTION("""COMPUTED_VALUE"""),"STRATTON")</f>
        <v>STRATTON</v>
      </c>
      <c r="B500" s="8" t="str">
        <f>IFERROR(__xludf.DUMMYFUNCTION("""COMPUTED_VALUE"""),"ADAM")</f>
        <v>ADAM</v>
      </c>
      <c r="C500" s="8" t="str">
        <f>IFERROR(__xludf.DUMMYFUNCTION("""COMPUTED_VALUE"""),"LIBERTY LAKE")</f>
        <v>LIBERTY LAKE</v>
      </c>
      <c r="D500" s="8" t="str">
        <f>IFERROR(__xludf.DUMMYFUNCTION("""COMPUTED_VALUE"""),"WA")</f>
        <v>WA</v>
      </c>
      <c r="E500" s="8" t="str">
        <f>IFERROR(__xludf.DUMMYFUNCTION("""COMPUTED_VALUE"""),"USA")</f>
        <v>USA</v>
      </c>
      <c r="F500" s="8" t="str">
        <f>IFERROR(__xludf.DUMMYFUNCTION("""COMPUTED_VALUE"""),"PRO CRICK DBLS")</f>
        <v>PRO CRICK DBLS</v>
      </c>
      <c r="G500" s="8" t="str">
        <f>IFERROR(__xludf.DUMMYFUNCTION("""COMPUTED_VALUE"""),"3")</f>
        <v>3</v>
      </c>
      <c r="H500" s="8" t="str">
        <f>IFERROR(__xludf.DUMMYFUNCTION("""COMPUTED_VALUE"""),"BS 37 WA")</f>
        <v>BS 37 WA</v>
      </c>
      <c r="I500" s="9">
        <f>IFERROR(__xludf.DUMMYFUNCTION("""COMPUTED_VALUE"""),45078.0)</f>
        <v>45078</v>
      </c>
      <c r="J500" s="9">
        <f>IFERROR(__xludf.DUMMYFUNCTION("""COMPUTED_VALUE"""),46174.0)</f>
        <v>46174</v>
      </c>
      <c r="K500" s="10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7" t="str">
        <f>IFERROR(__xludf.DUMMYFUNCTION("""COMPUTED_VALUE"""),"Strawbridge")</f>
        <v>Strawbridge</v>
      </c>
      <c r="B501" s="8" t="str">
        <f>IFERROR(__xludf.DUMMYFUNCTION("""COMPUTED_VALUE"""),"Dayton")</f>
        <v>Dayton</v>
      </c>
      <c r="C501" s="8" t="str">
        <f>IFERROR(__xludf.DUMMYFUNCTION("""COMPUTED_VALUE"""),"Bensonville")</f>
        <v>Bensonville</v>
      </c>
      <c r="D501" s="8" t="str">
        <f>IFERROR(__xludf.DUMMYFUNCTION("""COMPUTED_VALUE"""),"IL")</f>
        <v>IL</v>
      </c>
      <c r="E501" s="8" t="str">
        <f>IFERROR(__xludf.DUMMYFUNCTION("""COMPUTED_VALUE"""),"USA")</f>
        <v>USA</v>
      </c>
      <c r="F501" s="8" t="str">
        <f>IFERROR(__xludf.DUMMYFUNCTION("""COMPUTED_VALUE"""),"ADO 2018")</f>
        <v>ADO 2018</v>
      </c>
      <c r="G501" s="8" t="str">
        <f>IFERROR(__xludf.DUMMYFUNCTION("""COMPUTED_VALUE"""),"23rd")</f>
        <v>23rd</v>
      </c>
      <c r="H501" s="8" t="str">
        <f>IFERROR(__xludf.DUMMYFUNCTION("""COMPUTED_VALUE"""),"Known Ability")</f>
        <v>Known Ability</v>
      </c>
      <c r="I501" s="9">
        <f>IFERROR(__xludf.DUMMYFUNCTION("""COMPUTED_VALUE"""),43132.0)</f>
        <v>43132</v>
      </c>
      <c r="J501" s="9">
        <f>IFERROR(__xludf.DUMMYFUNCTION("""COMPUTED_VALUE"""),47635.0)</f>
        <v>47635</v>
      </c>
      <c r="K501" s="10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7" t="str">
        <f>IFERROR(__xludf.DUMMYFUNCTION("""COMPUTED_VALUE"""),"STROBEL")</f>
        <v>STROBEL</v>
      </c>
      <c r="B502" s="8" t="str">
        <f>IFERROR(__xludf.DUMMYFUNCTION("""COMPUTED_VALUE"""),"RICHARD")</f>
        <v>RICHARD</v>
      </c>
      <c r="C502" s="8" t="str">
        <f>IFERROR(__xludf.DUMMYFUNCTION("""COMPUTED_VALUE"""),"CINCINNATI")</f>
        <v>CINCINNATI</v>
      </c>
      <c r="D502" s="8" t="str">
        <f>IFERROR(__xludf.DUMMYFUNCTION("""COMPUTED_VALUE"""),"OH")</f>
        <v>OH</v>
      </c>
      <c r="E502" s="8" t="str">
        <f>IFERROR(__xludf.DUMMYFUNCTION("""COMPUTED_VALUE"""),"USA")</f>
        <v>USA</v>
      </c>
      <c r="F502" s="8" t="str">
        <f>IFERROR(__xludf.DUMMYFUNCTION("""COMPUTED_VALUE"""),"MENS DBLS CRICKET")</f>
        <v>MENS DBLS CRICKET</v>
      </c>
      <c r="G502" s="8" t="str">
        <f>IFERROR(__xludf.DUMMYFUNCTION("""COMPUTED_VALUE"""),"1ST")</f>
        <v>1ST</v>
      </c>
      <c r="H502" s="8" t="str">
        <f>IFERROR(__xludf.DUMMYFUNCTION("""COMPUTED_VALUE"""),"BS 36 REGIONAL SC")</f>
        <v>BS 36 REGIONAL SC</v>
      </c>
      <c r="I502" s="9">
        <f>IFERROR(__xludf.DUMMYFUNCTION("""COMPUTED_VALUE"""),44713.0)</f>
        <v>44713</v>
      </c>
      <c r="J502" s="9">
        <f>IFERROR(__xludf.DUMMYFUNCTION("""COMPUTED_VALUE"""),45809.0)</f>
        <v>45809</v>
      </c>
      <c r="K502" s="10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7" t="str">
        <f>IFERROR(__xludf.DUMMYFUNCTION("""COMPUTED_VALUE"""),"SUMMITS")</f>
        <v>SUMMITS</v>
      </c>
      <c r="B503" s="8" t="str">
        <f>IFERROR(__xludf.DUMMYFUNCTION("""COMPUTED_VALUE"""),"JEFFERY MICHAEL")</f>
        <v>JEFFERY MICHAEL</v>
      </c>
      <c r="C503" s="8" t="str">
        <f>IFERROR(__xludf.DUMMYFUNCTION("""COMPUTED_VALUE"""),"WINDBER")</f>
        <v>WINDBER</v>
      </c>
      <c r="D503" s="8" t="str">
        <f>IFERROR(__xludf.DUMMYFUNCTION("""COMPUTED_VALUE"""),"PA")</f>
        <v>PA</v>
      </c>
      <c r="E503" s="8" t="str">
        <f>IFERROR(__xludf.DUMMYFUNCTION("""COMPUTED_VALUE"""),"USA")</f>
        <v>USA</v>
      </c>
      <c r="F503" s="8" t="str">
        <f>IFERROR(__xludf.DUMMYFUNCTION("""COMPUTED_VALUE"""),"MEN SINGLES")</f>
        <v>MEN SINGLES</v>
      </c>
      <c r="G503" s="8" t="str">
        <f>IFERROR(__xludf.DUMMYFUNCTION("""COMPUTED_VALUE"""),"3")</f>
        <v>3</v>
      </c>
      <c r="H503" s="8" t="str">
        <f>IFERROR(__xludf.DUMMYFUNCTION("""COMPUTED_VALUE"""),"BS 37 PA")</f>
        <v>BS 37 PA</v>
      </c>
      <c r="I503" s="9">
        <f>IFERROR(__xludf.DUMMYFUNCTION("""COMPUTED_VALUE"""),45078.0)</f>
        <v>45078</v>
      </c>
      <c r="J503" s="9">
        <f>IFERROR(__xludf.DUMMYFUNCTION("""COMPUTED_VALUE"""),46174.0)</f>
        <v>46174</v>
      </c>
      <c r="K503" s="10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7" t="str">
        <f>IFERROR(__xludf.DUMMYFUNCTION("""COMPUTED_VALUE"""),"SWETIC")</f>
        <v>SWETIC</v>
      </c>
      <c r="B504" s="8" t="str">
        <f>IFERROR(__xludf.DUMMYFUNCTION("""COMPUTED_VALUE"""),"SHAWN")</f>
        <v>SHAWN</v>
      </c>
      <c r="C504" s="8" t="str">
        <f>IFERROR(__xludf.DUMMYFUNCTION("""COMPUTED_VALUE"""),"VANDERGRIFT")</f>
        <v>VANDERGRIFT</v>
      </c>
      <c r="D504" s="8" t="str">
        <f>IFERROR(__xludf.DUMMYFUNCTION("""COMPUTED_VALUE"""),"PA")</f>
        <v>PA</v>
      </c>
      <c r="E504" s="8" t="str">
        <f>IFERROR(__xludf.DUMMYFUNCTION("""COMPUTED_VALUE"""),"USA")</f>
        <v>USA</v>
      </c>
      <c r="F504" s="8" t="str">
        <f>IFERROR(__xludf.DUMMYFUNCTION("""COMPUTED_VALUE"""),"MIXED TRIPLES 701")</f>
        <v>MIXED TRIPLES 701</v>
      </c>
      <c r="G504" s="8" t="str">
        <f>IFERROR(__xludf.DUMMYFUNCTION("""COMPUTED_VALUE"""),"1ST")</f>
        <v>1ST</v>
      </c>
      <c r="H504" s="8" t="str">
        <f>IFERROR(__xludf.DUMMYFUNCTION("""COMPUTED_VALUE"""),"BS 36 REGIONAL PA")</f>
        <v>BS 36 REGIONAL PA</v>
      </c>
      <c r="I504" s="9">
        <f>IFERROR(__xludf.DUMMYFUNCTION("""COMPUTED_VALUE"""),44713.0)</f>
        <v>44713</v>
      </c>
      <c r="J504" s="9">
        <f>IFERROR(__xludf.DUMMYFUNCTION("""COMPUTED_VALUE"""),45809.0)</f>
        <v>45809</v>
      </c>
      <c r="K504" s="10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7" t="str">
        <f>IFERROR(__xludf.DUMMYFUNCTION("""COMPUTED_VALUE"""),"Sylvan")</f>
        <v>Sylvan</v>
      </c>
      <c r="B505" s="8" t="str">
        <f>IFERROR(__xludf.DUMMYFUNCTION("""COMPUTED_VALUE"""),"Chad")</f>
        <v>Chad</v>
      </c>
      <c r="C505" s="8" t="str">
        <f>IFERROR(__xludf.DUMMYFUNCTION("""COMPUTED_VALUE"""),"Oklahoma City")</f>
        <v>Oklahoma City</v>
      </c>
      <c r="D505" s="8" t="str">
        <f>IFERROR(__xludf.DUMMYFUNCTION("""COMPUTED_VALUE"""),"OK")</f>
        <v>OK</v>
      </c>
      <c r="E505" s="8" t="str">
        <f>IFERROR(__xludf.DUMMYFUNCTION("""COMPUTED_VALUE"""),"USA")</f>
        <v>USA</v>
      </c>
      <c r="F505" s="8" t="str">
        <f>IFERROR(__xludf.DUMMYFUNCTION("""COMPUTED_VALUE"""),"Known Pro")</f>
        <v>Known Pro</v>
      </c>
      <c r="G505" s="8"/>
      <c r="H505" s="8" t="str">
        <f>IFERROR(__xludf.DUMMYFUNCTION("""COMPUTED_VALUE"""),"Known Ability")</f>
        <v>Known Ability</v>
      </c>
      <c r="I505" s="9">
        <f>IFERROR(__xludf.DUMMYFUNCTION("""COMPUTED_VALUE"""),36892.0)</f>
        <v>36892</v>
      </c>
      <c r="J505" s="9">
        <f>IFERROR(__xludf.DUMMYFUNCTION("""COMPUTED_VALUE"""),47635.0)</f>
        <v>47635</v>
      </c>
      <c r="K505" s="10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7" t="str">
        <f>IFERROR(__xludf.DUMMYFUNCTION("""COMPUTED_VALUE"""),"SZYMCZAK")</f>
        <v>SZYMCZAK</v>
      </c>
      <c r="B506" s="8" t="str">
        <f>IFERROR(__xludf.DUMMYFUNCTION("""COMPUTED_VALUE"""),"JAMES")</f>
        <v>JAMES</v>
      </c>
      <c r="C506" s="8" t="str">
        <f>IFERROR(__xludf.DUMMYFUNCTION("""COMPUTED_VALUE"""),"MANSFIELD")</f>
        <v>MANSFIELD</v>
      </c>
      <c r="D506" s="8" t="str">
        <f>IFERROR(__xludf.DUMMYFUNCTION("""COMPUTED_VALUE"""),"OH")</f>
        <v>OH</v>
      </c>
      <c r="E506" s="8" t="str">
        <f>IFERROR(__xludf.DUMMYFUNCTION("""COMPUTED_VALUE"""),"USA")</f>
        <v>USA</v>
      </c>
      <c r="F506" s="8" t="str">
        <f>IFERROR(__xludf.DUMMYFUNCTION("""COMPUTED_VALUE"""),"MENS DBLS 501")</f>
        <v>MENS DBLS 501</v>
      </c>
      <c r="G506" s="8" t="str">
        <f>IFERROR(__xludf.DUMMYFUNCTION("""COMPUTED_VALUE"""),"2ND")</f>
        <v>2ND</v>
      </c>
      <c r="H506" s="8" t="str">
        <f>IFERROR(__xludf.DUMMYFUNCTION("""COMPUTED_VALUE"""),"BS 36 REGIONAL PA")</f>
        <v>BS 36 REGIONAL PA</v>
      </c>
      <c r="I506" s="9">
        <f>IFERROR(__xludf.DUMMYFUNCTION("""COMPUTED_VALUE"""),44713.0)</f>
        <v>44713</v>
      </c>
      <c r="J506" s="9">
        <f>IFERROR(__xludf.DUMMYFUNCTION("""COMPUTED_VALUE"""),45809.0)</f>
        <v>45809</v>
      </c>
      <c r="K506" s="10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7" t="str">
        <f>IFERROR(__xludf.DUMMYFUNCTION("""COMPUTED_VALUE"""),"TARASKIEWICZ")</f>
        <v>TARASKIEWICZ</v>
      </c>
      <c r="B507" s="8" t="str">
        <f>IFERROR(__xludf.DUMMYFUNCTION("""COMPUTED_VALUE"""),"IAN")</f>
        <v>IAN</v>
      </c>
      <c r="C507" s="8" t="str">
        <f>IFERROR(__xludf.DUMMYFUNCTION("""COMPUTED_VALUE"""),"LOVELAND")</f>
        <v>LOVELAND</v>
      </c>
      <c r="D507" s="8" t="str">
        <f>IFERROR(__xludf.DUMMYFUNCTION("""COMPUTED_VALUE"""),"CO")</f>
        <v>CO</v>
      </c>
      <c r="E507" s="8" t="str">
        <f>IFERROR(__xludf.DUMMYFUNCTION("""COMPUTED_VALUE"""),"USA")</f>
        <v>USA</v>
      </c>
      <c r="F507" s="8" t="str">
        <f>IFERROR(__xludf.DUMMYFUNCTION("""COMPUTED_VALUE"""),"MENS DBLS 501")</f>
        <v>MENS DBLS 501</v>
      </c>
      <c r="G507" s="8" t="str">
        <f>IFERROR(__xludf.DUMMYFUNCTION("""COMPUTED_VALUE"""),"1ST")</f>
        <v>1ST</v>
      </c>
      <c r="H507" s="8" t="str">
        <f>IFERROR(__xludf.DUMMYFUNCTION("""COMPUTED_VALUE"""),"BS 36 REGIONAL NY")</f>
        <v>BS 36 REGIONAL NY</v>
      </c>
      <c r="I507" s="9">
        <f>IFERROR(__xludf.DUMMYFUNCTION("""COMPUTED_VALUE"""),44713.0)</f>
        <v>44713</v>
      </c>
      <c r="J507" s="9">
        <f>IFERROR(__xludf.DUMMYFUNCTION("""COMPUTED_VALUE"""),45809.0)</f>
        <v>45809</v>
      </c>
      <c r="K507" s="1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7" t="str">
        <f>IFERROR(__xludf.DUMMYFUNCTION("""COMPUTED_VALUE"""),"TARASKIEWICZ")</f>
        <v>TARASKIEWICZ</v>
      </c>
      <c r="B508" s="8" t="str">
        <f>IFERROR(__xludf.DUMMYFUNCTION("""COMPUTED_VALUE"""),"JARED")</f>
        <v>JARED</v>
      </c>
      <c r="C508" s="8" t="str">
        <f>IFERROR(__xludf.DUMMYFUNCTION("""COMPUTED_VALUE"""),"WELLINGTON")</f>
        <v>WELLINGTON</v>
      </c>
      <c r="D508" s="8" t="str">
        <f>IFERROR(__xludf.DUMMYFUNCTION("""COMPUTED_VALUE"""),"CO")</f>
        <v>CO</v>
      </c>
      <c r="E508" s="8" t="str">
        <f>IFERROR(__xludf.DUMMYFUNCTION("""COMPUTED_VALUE"""),"USA")</f>
        <v>USA</v>
      </c>
      <c r="F508" s="8" t="str">
        <f>IFERROR(__xludf.DUMMYFUNCTION("""COMPUTED_VALUE"""),"MENS DBLS 501")</f>
        <v>MENS DBLS 501</v>
      </c>
      <c r="G508" s="8" t="str">
        <f>IFERROR(__xludf.DUMMYFUNCTION("""COMPUTED_VALUE"""),"1ST")</f>
        <v>1ST</v>
      </c>
      <c r="H508" s="8" t="str">
        <f>IFERROR(__xludf.DUMMYFUNCTION("""COMPUTED_VALUE"""),"BS 36 REGIONAL NY")</f>
        <v>BS 36 REGIONAL NY</v>
      </c>
      <c r="I508" s="9">
        <f>IFERROR(__xludf.DUMMYFUNCTION("""COMPUTED_VALUE"""),44713.0)</f>
        <v>44713</v>
      </c>
      <c r="J508" s="9">
        <f>IFERROR(__xludf.DUMMYFUNCTION("""COMPUTED_VALUE"""),45809.0)</f>
        <v>45809</v>
      </c>
      <c r="K508" s="1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7" t="str">
        <f>IFERROR(__xludf.DUMMYFUNCTION("""COMPUTED_VALUE"""),"TASSI")</f>
        <v>TASSI</v>
      </c>
      <c r="B509" s="8" t="str">
        <f>IFERROR(__xludf.DUMMYFUNCTION("""COMPUTED_VALUE"""),"ALFRED")</f>
        <v>ALFRED</v>
      </c>
      <c r="C509" s="8" t="str">
        <f>IFERROR(__xludf.DUMMYFUNCTION("""COMPUTED_VALUE"""),"SYRACUSE")</f>
        <v>SYRACUSE</v>
      </c>
      <c r="D509" s="8" t="str">
        <f>IFERROR(__xludf.DUMMYFUNCTION("""COMPUTED_VALUE"""),"NY")</f>
        <v>NY</v>
      </c>
      <c r="E509" s="8" t="str">
        <f>IFERROR(__xludf.DUMMYFUNCTION("""COMPUTED_VALUE"""),"USA")</f>
        <v>USA</v>
      </c>
      <c r="F509" s="8" t="str">
        <f>IFERROR(__xludf.DUMMYFUNCTION("""COMPUTED_VALUE"""),"MENS DBLS CRICKET")</f>
        <v>MENS DBLS CRICKET</v>
      </c>
      <c r="G509" s="8" t="str">
        <f>IFERROR(__xludf.DUMMYFUNCTION("""COMPUTED_VALUE"""),"1ST")</f>
        <v>1ST</v>
      </c>
      <c r="H509" s="8" t="str">
        <f>IFERROR(__xludf.DUMMYFUNCTION("""COMPUTED_VALUE"""),"BS 36 REGIONAL NY")</f>
        <v>BS 36 REGIONAL NY</v>
      </c>
      <c r="I509" s="9">
        <f>IFERROR(__xludf.DUMMYFUNCTION("""COMPUTED_VALUE"""),44713.0)</f>
        <v>44713</v>
      </c>
      <c r="J509" s="9">
        <f>IFERROR(__xludf.DUMMYFUNCTION("""COMPUTED_VALUE"""),45809.0)</f>
        <v>45809</v>
      </c>
      <c r="K509" s="1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7" t="str">
        <f>IFERROR(__xludf.DUMMYFUNCTION("""COMPUTED_VALUE"""),"TAVARAS")</f>
        <v>TAVARAS</v>
      </c>
      <c r="B510" s="8" t="str">
        <f>IFERROR(__xludf.DUMMYFUNCTION("""COMPUTED_VALUE"""),"MATHEW")</f>
        <v>MATHEW</v>
      </c>
      <c r="C510" s="8" t="str">
        <f>IFERROR(__xludf.DUMMYFUNCTION("""COMPUTED_VALUE"""),"MYRTLE BEACH")</f>
        <v>MYRTLE BEACH</v>
      </c>
      <c r="D510" s="8" t="str">
        <f>IFERROR(__xludf.DUMMYFUNCTION("""COMPUTED_VALUE"""),"SC")</f>
        <v>SC</v>
      </c>
      <c r="E510" s="8" t="str">
        <f>IFERROR(__xludf.DUMMYFUNCTION("""COMPUTED_VALUE"""),"USA")</f>
        <v>USA</v>
      </c>
      <c r="F510" s="8" t="str">
        <f>IFERROR(__xludf.DUMMYFUNCTION("""COMPUTED_VALUE"""),"MEN CRICKET DBLS")</f>
        <v>MEN CRICKET DBLS</v>
      </c>
      <c r="G510" s="8" t="str">
        <f>IFERROR(__xludf.DUMMYFUNCTION("""COMPUTED_VALUE"""),"2")</f>
        <v>2</v>
      </c>
      <c r="H510" s="8" t="str">
        <f>IFERROR(__xludf.DUMMYFUNCTION("""COMPUTED_VALUE"""),"BS 37 SC")</f>
        <v>BS 37 SC</v>
      </c>
      <c r="I510" s="9">
        <f>IFERROR(__xludf.DUMMYFUNCTION("""COMPUTED_VALUE"""),45078.0)</f>
        <v>45078</v>
      </c>
      <c r="J510" s="9">
        <f>IFERROR(__xludf.DUMMYFUNCTION("""COMPUTED_VALUE"""),46174.0)</f>
        <v>46174</v>
      </c>
      <c r="K510" s="1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7" t="str">
        <f>IFERROR(__xludf.DUMMYFUNCTION("""COMPUTED_VALUE"""),"TAYLOR")</f>
        <v>TAYLOR</v>
      </c>
      <c r="B511" s="8" t="str">
        <f>IFERROR(__xludf.DUMMYFUNCTION("""COMPUTED_VALUE"""),"MARK")</f>
        <v>MARK</v>
      </c>
      <c r="C511" s="8" t="str">
        <f>IFERROR(__xludf.DUMMYFUNCTION("""COMPUTED_VALUE"""),"SPRINGFIELD")</f>
        <v>SPRINGFIELD</v>
      </c>
      <c r="D511" s="8" t="str">
        <f>IFERROR(__xludf.DUMMYFUNCTION("""COMPUTED_VALUE"""),"IL")</f>
        <v>IL</v>
      </c>
      <c r="E511" s="8" t="str">
        <f>IFERROR(__xludf.DUMMYFUNCTION("""COMPUTED_VALUE"""),"USA")</f>
        <v>USA</v>
      </c>
      <c r="F511" s="8" t="str">
        <f>IFERROR(__xludf.DUMMYFUNCTION("""COMPUTED_VALUE"""),"MIXED TRIPLES 701")</f>
        <v>MIXED TRIPLES 701</v>
      </c>
      <c r="G511" s="8" t="str">
        <f>IFERROR(__xludf.DUMMYFUNCTION("""COMPUTED_VALUE"""),"1ST")</f>
        <v>1ST</v>
      </c>
      <c r="H511" s="8" t="str">
        <f>IFERROR(__xludf.DUMMYFUNCTION("""COMPUTED_VALUE"""),"NE REGIONAL BS 38")</f>
        <v>NE REGIONAL BS 38</v>
      </c>
      <c r="I511" s="9">
        <f>IFERROR(__xludf.DUMMYFUNCTION("""COMPUTED_VALUE"""),45444.0)</f>
        <v>45444</v>
      </c>
      <c r="J511" s="9">
        <f>IFERROR(__xludf.DUMMYFUNCTION("""COMPUTED_VALUE"""),46539.0)</f>
        <v>46539</v>
      </c>
      <c r="K511" s="1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7" t="str">
        <f>IFERROR(__xludf.DUMMYFUNCTION("""COMPUTED_VALUE"""),"Tegel")</f>
        <v>Tegel</v>
      </c>
      <c r="B512" s="8" t="str">
        <f>IFERROR(__xludf.DUMMYFUNCTION("""COMPUTED_VALUE"""),"Tim")</f>
        <v>Tim</v>
      </c>
      <c r="C512" s="8" t="str">
        <f>IFERROR(__xludf.DUMMYFUNCTION("""COMPUTED_VALUE"""),"Kenosha")</f>
        <v>Kenosha</v>
      </c>
      <c r="D512" s="8" t="str">
        <f>IFERROR(__xludf.DUMMYFUNCTION("""COMPUTED_VALUE"""),"WI")</f>
        <v>WI</v>
      </c>
      <c r="E512" s="8" t="str">
        <f>IFERROR(__xludf.DUMMYFUNCTION("""COMPUTED_VALUE"""),"USA")</f>
        <v>USA</v>
      </c>
      <c r="F512" s="8" t="str">
        <f>IFERROR(__xludf.DUMMYFUNCTION("""COMPUTED_VALUE"""),"Pro Doubles 501")</f>
        <v>Pro Doubles 501</v>
      </c>
      <c r="G512" s="8" t="str">
        <f>IFERROR(__xludf.DUMMYFUNCTION("""COMPUTED_VALUE"""),"3rd")</f>
        <v>3rd</v>
      </c>
      <c r="H512" s="8" t="str">
        <f>IFERROR(__xludf.DUMMYFUNCTION("""COMPUTED_VALUE"""),"Wisconsin BS 34")</f>
        <v>Wisconsin BS 34</v>
      </c>
      <c r="I512" s="9">
        <f>IFERROR(__xludf.DUMMYFUNCTION("""COMPUTED_VALUE"""),43617.0)</f>
        <v>43617</v>
      </c>
      <c r="J512" s="9">
        <f>IFERROR(__xludf.DUMMYFUNCTION("""COMPUTED_VALUE"""),45809.0)</f>
        <v>45809</v>
      </c>
      <c r="K512" s="1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7" t="str">
        <f>IFERROR(__xludf.DUMMYFUNCTION("""COMPUTED_VALUE"""),"TENNEY")</f>
        <v>TENNEY</v>
      </c>
      <c r="B513" s="8" t="str">
        <f>IFERROR(__xludf.DUMMYFUNCTION("""COMPUTED_VALUE"""),"WILLIAM")</f>
        <v>WILLIAM</v>
      </c>
      <c r="C513" s="8" t="str">
        <f>IFERROR(__xludf.DUMMYFUNCTION("""COMPUTED_VALUE"""),"LAKELAND")</f>
        <v>LAKELAND</v>
      </c>
      <c r="D513" s="8" t="str">
        <f>IFERROR(__xludf.DUMMYFUNCTION("""COMPUTED_VALUE"""),"FL")</f>
        <v>FL</v>
      </c>
      <c r="E513" s="8" t="str">
        <f>IFERROR(__xludf.DUMMYFUNCTION("""COMPUTED_VALUE"""),"USA")</f>
        <v>USA</v>
      </c>
      <c r="F513" s="8" t="str">
        <f>IFERROR(__xludf.DUMMYFUNCTION("""COMPUTED_VALUE"""),"MENS DBLS CRICKET")</f>
        <v>MENS DBLS CRICKET</v>
      </c>
      <c r="G513" s="8" t="str">
        <f>IFERROR(__xludf.DUMMYFUNCTION("""COMPUTED_VALUE"""),"3RD")</f>
        <v>3RD</v>
      </c>
      <c r="H513" s="8" t="str">
        <f>IFERROR(__xludf.DUMMYFUNCTION("""COMPUTED_VALUE"""),"BS 36 REGIONAL TX")</f>
        <v>BS 36 REGIONAL TX</v>
      </c>
      <c r="I513" s="9">
        <f>IFERROR(__xludf.DUMMYFUNCTION("""COMPUTED_VALUE"""),44713.0)</f>
        <v>44713</v>
      </c>
      <c r="J513" s="9">
        <f>IFERROR(__xludf.DUMMYFUNCTION("""COMPUTED_VALUE"""),45809.0)</f>
        <v>45809</v>
      </c>
      <c r="K513" s="10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7" t="str">
        <f>IFERROR(__xludf.DUMMYFUNCTION("""COMPUTED_VALUE"""),"TERRAL")</f>
        <v>TERRAL</v>
      </c>
      <c r="B514" s="8" t="str">
        <f>IFERROR(__xludf.DUMMYFUNCTION("""COMPUTED_VALUE"""),"TOMMY")</f>
        <v>TOMMY</v>
      </c>
      <c r="C514" s="8" t="str">
        <f>IFERROR(__xludf.DUMMYFUNCTION("""COMPUTED_VALUE"""),"SWANSEA")</f>
        <v>SWANSEA</v>
      </c>
      <c r="D514" s="8" t="str">
        <f>IFERROR(__xludf.DUMMYFUNCTION("""COMPUTED_VALUE"""),"IL")</f>
        <v>IL</v>
      </c>
      <c r="E514" s="8" t="str">
        <f>IFERROR(__xludf.DUMMYFUNCTION("""COMPUTED_VALUE"""),"USA")</f>
        <v>USA</v>
      </c>
      <c r="F514" s="8" t="str">
        <f>IFERROR(__xludf.DUMMYFUNCTION("""COMPUTED_VALUE"""),"TOPGUN NONPRO TRIPLES")</f>
        <v>TOPGUN NONPRO TRIPLES</v>
      </c>
      <c r="G514" s="8" t="str">
        <f>IFERROR(__xludf.DUMMYFUNCTION("""COMPUTED_VALUE"""),"3 4")</f>
        <v>3 4</v>
      </c>
      <c r="H514" s="8" t="str">
        <f>IFERROR(__xludf.DUMMYFUNCTION("""COMPUTED_VALUE"""),"BS 37 FINALS")</f>
        <v>BS 37 FINALS</v>
      </c>
      <c r="I514" s="9">
        <f>IFERROR(__xludf.DUMMYFUNCTION("""COMPUTED_VALUE"""),45078.0)</f>
        <v>45078</v>
      </c>
      <c r="J514" s="9">
        <f>IFERROR(__xludf.DUMMYFUNCTION("""COMPUTED_VALUE"""),46174.0)</f>
        <v>46174</v>
      </c>
      <c r="K514" s="10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7" t="str">
        <f>IFERROR(__xludf.DUMMYFUNCTION("""COMPUTED_VALUE"""),"TERRELL")</f>
        <v>TERRELL</v>
      </c>
      <c r="B515" s="8" t="str">
        <f>IFERROR(__xludf.DUMMYFUNCTION("""COMPUTED_VALUE"""),"TIM")</f>
        <v>TIM</v>
      </c>
      <c r="C515" s="8" t="str">
        <f>IFERROR(__xludf.DUMMYFUNCTION("""COMPUTED_VALUE"""),"SWANSEA")</f>
        <v>SWANSEA</v>
      </c>
      <c r="D515" s="8" t="str">
        <f>IFERROR(__xludf.DUMMYFUNCTION("""COMPUTED_VALUE"""),"IL")</f>
        <v>IL</v>
      </c>
      <c r="E515" s="8" t="str">
        <f>IFERROR(__xludf.DUMMYFUNCTION("""COMPUTED_VALUE"""),"USA")</f>
        <v>USA</v>
      </c>
      <c r="F515" s="8" t="str">
        <f>IFERROR(__xludf.DUMMYFUNCTION("""COMPUTED_VALUE"""),"TOPGUN NONPRO TRIPLES")</f>
        <v>TOPGUN NONPRO TRIPLES</v>
      </c>
      <c r="G515" s="8" t="str">
        <f>IFERROR(__xludf.DUMMYFUNCTION("""COMPUTED_VALUE"""),"3 4")</f>
        <v>3 4</v>
      </c>
      <c r="H515" s="8" t="str">
        <f>IFERROR(__xludf.DUMMYFUNCTION("""COMPUTED_VALUE"""),"BS 37 FINALS")</f>
        <v>BS 37 FINALS</v>
      </c>
      <c r="I515" s="9">
        <f>IFERROR(__xludf.DUMMYFUNCTION("""COMPUTED_VALUE"""),45078.0)</f>
        <v>45078</v>
      </c>
      <c r="J515" s="9">
        <f>IFERROR(__xludf.DUMMYFUNCTION("""COMPUTED_VALUE"""),46174.0)</f>
        <v>46174</v>
      </c>
      <c r="K515" s="10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7" t="str">
        <f>IFERROR(__xludf.DUMMYFUNCTION("""COMPUTED_VALUE"""),"TESSO")</f>
        <v>TESSO</v>
      </c>
      <c r="B516" s="8" t="str">
        <f>IFERROR(__xludf.DUMMYFUNCTION("""COMPUTED_VALUE"""),"CHRISTOPHER")</f>
        <v>CHRISTOPHER</v>
      </c>
      <c r="C516" s="8" t="str">
        <f>IFERROR(__xludf.DUMMYFUNCTION("""COMPUTED_VALUE"""),"ASHLAND")</f>
        <v>ASHLAND</v>
      </c>
      <c r="D516" s="8" t="str">
        <f>IFERROR(__xludf.DUMMYFUNCTION("""COMPUTED_VALUE"""),"OH")</f>
        <v>OH</v>
      </c>
      <c r="E516" s="8" t="str">
        <f>IFERROR(__xludf.DUMMYFUNCTION("""COMPUTED_VALUE"""),"USA")</f>
        <v>USA</v>
      </c>
      <c r="F516" s="8" t="str">
        <f>IFERROR(__xludf.DUMMYFUNCTION("""COMPUTED_VALUE"""),"MEN 501 DBLS")</f>
        <v>MEN 501 DBLS</v>
      </c>
      <c r="G516" s="8" t="str">
        <f>IFERROR(__xludf.DUMMYFUNCTION("""COMPUTED_VALUE"""),"2")</f>
        <v>2</v>
      </c>
      <c r="H516" s="8" t="str">
        <f>IFERROR(__xludf.DUMMYFUNCTION("""COMPUTED_VALUE"""),"BS 37 PA")</f>
        <v>BS 37 PA</v>
      </c>
      <c r="I516" s="9">
        <f>IFERROR(__xludf.DUMMYFUNCTION("""COMPUTED_VALUE"""),45078.0)</f>
        <v>45078</v>
      </c>
      <c r="J516" s="9">
        <f>IFERROR(__xludf.DUMMYFUNCTION("""COMPUTED_VALUE"""),46174.0)</f>
        <v>46174</v>
      </c>
      <c r="K516" s="10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7" t="str">
        <f>IFERROR(__xludf.DUMMYFUNCTION("""COMPUTED_VALUE"""),"Thibert")</f>
        <v>Thibert</v>
      </c>
      <c r="B517" s="8" t="str">
        <f>IFERROR(__xludf.DUMMYFUNCTION("""COMPUTED_VALUE"""),"Patrick")</f>
        <v>Patrick</v>
      </c>
      <c r="C517" s="8"/>
      <c r="D517" s="8" t="str">
        <f>IFERROR(__xludf.DUMMYFUNCTION("""COMPUTED_VALUE"""),"UNK")</f>
        <v>UNK</v>
      </c>
      <c r="E517" s="8" t="str">
        <f>IFERROR(__xludf.DUMMYFUNCTION("""COMPUTED_VALUE"""),"Belgium")</f>
        <v>Belgium</v>
      </c>
      <c r="F517" s="8" t="str">
        <f>IFERROR(__xludf.DUMMYFUNCTION("""COMPUTED_VALUE"""),"Known Pro")</f>
        <v>Known Pro</v>
      </c>
      <c r="G517" s="8"/>
      <c r="H517" s="8" t="str">
        <f>IFERROR(__xludf.DUMMYFUNCTION("""COMPUTED_VALUE"""),"Known Ability")</f>
        <v>Known Ability</v>
      </c>
      <c r="I517" s="9">
        <f>IFERROR(__xludf.DUMMYFUNCTION("""COMPUTED_VALUE"""),36892.0)</f>
        <v>36892</v>
      </c>
      <c r="J517" s="9">
        <f>IFERROR(__xludf.DUMMYFUNCTION("""COMPUTED_VALUE"""),47635.0)</f>
        <v>47635</v>
      </c>
      <c r="K517" s="10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7" t="str">
        <f>IFERROR(__xludf.DUMMYFUNCTION("""COMPUTED_VALUE"""),"THOMAS")</f>
        <v>THOMAS</v>
      </c>
      <c r="B518" s="8" t="str">
        <f>IFERROR(__xludf.DUMMYFUNCTION("""COMPUTED_VALUE"""),"DANIEL")</f>
        <v>DANIEL</v>
      </c>
      <c r="C518" s="8" t="str">
        <f>IFERROR(__xludf.DUMMYFUNCTION("""COMPUTED_VALUE"""),"ROME")</f>
        <v>ROME</v>
      </c>
      <c r="D518" s="8" t="str">
        <f>IFERROR(__xludf.DUMMYFUNCTION("""COMPUTED_VALUE"""),"NY")</f>
        <v>NY</v>
      </c>
      <c r="E518" s="8" t="str">
        <f>IFERROR(__xludf.DUMMYFUNCTION("""COMPUTED_VALUE"""),"USA")</f>
        <v>USA</v>
      </c>
      <c r="F518" s="8" t="str">
        <f>IFERROR(__xludf.DUMMYFUNCTION("""COMPUTED_VALUE"""),"MEN SINGLES")</f>
        <v>MEN SINGLES</v>
      </c>
      <c r="G518" s="8" t="str">
        <f>IFERROR(__xludf.DUMMYFUNCTION("""COMPUTED_VALUE"""),"1")</f>
        <v>1</v>
      </c>
      <c r="H518" s="8" t="str">
        <f>IFERROR(__xludf.DUMMYFUNCTION("""COMPUTED_VALUE"""),"BS 37 NY")</f>
        <v>BS 37 NY</v>
      </c>
      <c r="I518" s="9">
        <f>IFERROR(__xludf.DUMMYFUNCTION("""COMPUTED_VALUE"""),45078.0)</f>
        <v>45078</v>
      </c>
      <c r="J518" s="9">
        <f>IFERROR(__xludf.DUMMYFUNCTION("""COMPUTED_VALUE"""),46174.0)</f>
        <v>46174</v>
      </c>
      <c r="K518" s="10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7" t="str">
        <f>IFERROR(__xludf.DUMMYFUNCTION("""COMPUTED_VALUE"""),"TIMKO")</f>
        <v>TIMKO</v>
      </c>
      <c r="B519" s="8" t="str">
        <f>IFERROR(__xludf.DUMMYFUNCTION("""COMPUTED_VALUE"""),"STEPHEN")</f>
        <v>STEPHEN</v>
      </c>
      <c r="C519" s="8" t="str">
        <f>IFERROR(__xludf.DUMMYFUNCTION("""COMPUTED_VALUE"""),"HOMER CITY")</f>
        <v>HOMER CITY</v>
      </c>
      <c r="D519" s="8" t="str">
        <f>IFERROR(__xludf.DUMMYFUNCTION("""COMPUTED_VALUE"""),"PA")</f>
        <v>PA</v>
      </c>
      <c r="E519" s="8" t="str">
        <f>IFERROR(__xludf.DUMMYFUNCTION("""COMPUTED_VALUE"""),"USA")</f>
        <v>USA</v>
      </c>
      <c r="F519" s="8" t="str">
        <f>IFERROR(__xludf.DUMMYFUNCTION("""COMPUTED_VALUE"""),"MEN 501 DBLS")</f>
        <v>MEN 501 DBLS</v>
      </c>
      <c r="G519" s="8" t="str">
        <f>IFERROR(__xludf.DUMMYFUNCTION("""COMPUTED_VALUE"""),"1")</f>
        <v>1</v>
      </c>
      <c r="H519" s="8" t="str">
        <f>IFERROR(__xludf.DUMMYFUNCTION("""COMPUTED_VALUE"""),"BS 37 PA")</f>
        <v>BS 37 PA</v>
      </c>
      <c r="I519" s="9">
        <f>IFERROR(__xludf.DUMMYFUNCTION("""COMPUTED_VALUE"""),45078.0)</f>
        <v>45078</v>
      </c>
      <c r="J519" s="9">
        <f>IFERROR(__xludf.DUMMYFUNCTION("""COMPUTED_VALUE"""),46174.0)</f>
        <v>46174</v>
      </c>
      <c r="K519" s="10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7" t="str">
        <f>IFERROR(__xludf.DUMMYFUNCTION("""COMPUTED_VALUE"""),"TITMAN")</f>
        <v>TITMAN</v>
      </c>
      <c r="B520" s="8" t="str">
        <f>IFERROR(__xludf.DUMMYFUNCTION("""COMPUTED_VALUE"""),"TYLER")</f>
        <v>TYLER</v>
      </c>
      <c r="C520" s="8" t="str">
        <f>IFERROR(__xludf.DUMMYFUNCTION("""COMPUTED_VALUE"""),"OMAHA")</f>
        <v>OMAHA</v>
      </c>
      <c r="D520" s="8" t="str">
        <f>IFERROR(__xludf.DUMMYFUNCTION("""COMPUTED_VALUE"""),"NE")</f>
        <v>NE</v>
      </c>
      <c r="E520" s="8" t="str">
        <f>IFERROR(__xludf.DUMMYFUNCTION("""COMPUTED_VALUE"""),"USA")</f>
        <v>USA</v>
      </c>
      <c r="F520" s="8" t="str">
        <f>IFERROR(__xludf.DUMMYFUNCTION("""COMPUTED_VALUE"""),"PRO 501 DBLS")</f>
        <v>PRO 501 DBLS</v>
      </c>
      <c r="G520" s="8" t="str">
        <f>IFERROR(__xludf.DUMMYFUNCTION("""COMPUTED_VALUE"""),"3")</f>
        <v>3</v>
      </c>
      <c r="H520" s="8" t="str">
        <f>IFERROR(__xludf.DUMMYFUNCTION("""COMPUTED_VALUE"""),"BS 37 NE")</f>
        <v>BS 37 NE</v>
      </c>
      <c r="I520" s="9">
        <f>IFERROR(__xludf.DUMMYFUNCTION("""COMPUTED_VALUE"""),45078.0)</f>
        <v>45078</v>
      </c>
      <c r="J520" s="9">
        <f>IFERROR(__xludf.DUMMYFUNCTION("""COMPUTED_VALUE"""),46174.0)</f>
        <v>46174</v>
      </c>
      <c r="K520" s="10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7" t="str">
        <f>IFERROR(__xludf.DUMMYFUNCTION("""COMPUTED_VALUE"""),"TRAINOR")</f>
        <v>TRAINOR</v>
      </c>
      <c r="B521" s="8" t="str">
        <f>IFERROR(__xludf.DUMMYFUNCTION("""COMPUTED_VALUE"""),"ANDREW")</f>
        <v>ANDREW</v>
      </c>
      <c r="C521" s="8" t="str">
        <f>IFERROR(__xludf.DUMMYFUNCTION("""COMPUTED_VALUE"""),"GILBERT")</f>
        <v>GILBERT</v>
      </c>
      <c r="D521" s="8" t="str">
        <f>IFERROR(__xludf.DUMMYFUNCTION("""COMPUTED_VALUE"""),"AZ")</f>
        <v>AZ</v>
      </c>
      <c r="E521" s="8" t="str">
        <f>IFERROR(__xludf.DUMMYFUNCTION("""COMPUTED_VALUE"""),"USA")</f>
        <v>USA</v>
      </c>
      <c r="F521" s="8" t="str">
        <f>IFERROR(__xludf.DUMMYFUNCTION("""COMPUTED_VALUE"""),"PRO SINGLES")</f>
        <v>PRO SINGLES</v>
      </c>
      <c r="G521" s="8" t="str">
        <f>IFERROR(__xludf.DUMMYFUNCTION("""COMPUTED_VALUE"""),"3")</f>
        <v>3</v>
      </c>
      <c r="H521" s="8" t="str">
        <f>IFERROR(__xludf.DUMMYFUNCTION("""COMPUTED_VALUE"""),"BS 37 WA")</f>
        <v>BS 37 WA</v>
      </c>
      <c r="I521" s="9">
        <f>IFERROR(__xludf.DUMMYFUNCTION("""COMPUTED_VALUE"""),45078.0)</f>
        <v>45078</v>
      </c>
      <c r="J521" s="9">
        <f>IFERROR(__xludf.DUMMYFUNCTION("""COMPUTED_VALUE"""),46174.0)</f>
        <v>46174</v>
      </c>
      <c r="K521" s="10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7" t="str">
        <f>IFERROR(__xludf.DUMMYFUNCTION("""COMPUTED_VALUE"""),"TRENHOLM")</f>
        <v>TRENHOLM</v>
      </c>
      <c r="B522" s="8" t="str">
        <f>IFERROR(__xludf.DUMMYFUNCTION("""COMPUTED_VALUE"""),"DARCY")</f>
        <v>DARCY</v>
      </c>
      <c r="C522" s="8"/>
      <c r="D522" s="8"/>
      <c r="E522" s="8" t="str">
        <f>IFERROR(__xludf.DUMMYFUNCTION("""COMPUTED_VALUE"""),"CANADA")</f>
        <v>CANADA</v>
      </c>
      <c r="F522" s="8" t="str">
        <f>IFERROR(__xludf.DUMMYFUNCTION("""COMPUTED_VALUE"""),"PRO 501 DBLS")</f>
        <v>PRO 501 DBLS</v>
      </c>
      <c r="G522" s="8" t="str">
        <f>IFERROR(__xludf.DUMMYFUNCTION("""COMPUTED_VALUE"""),"1")</f>
        <v>1</v>
      </c>
      <c r="H522" s="8" t="str">
        <f>IFERROR(__xludf.DUMMYFUNCTION("""COMPUTED_VALUE"""),"BS 37 NY")</f>
        <v>BS 37 NY</v>
      </c>
      <c r="I522" s="9">
        <f>IFERROR(__xludf.DUMMYFUNCTION("""COMPUTED_VALUE"""),45078.0)</f>
        <v>45078</v>
      </c>
      <c r="J522" s="9">
        <f>IFERROR(__xludf.DUMMYFUNCTION("""COMPUTED_VALUE"""),46174.0)</f>
        <v>46174</v>
      </c>
      <c r="K522" s="10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7" t="str">
        <f>IFERROR(__xludf.DUMMYFUNCTION("""COMPUTED_VALUE"""),"TURNER")</f>
        <v>TURNER</v>
      </c>
      <c r="B523" s="8" t="str">
        <f>IFERROR(__xludf.DUMMYFUNCTION("""COMPUTED_VALUE"""),"JORDAN")</f>
        <v>JORDAN</v>
      </c>
      <c r="C523" s="8" t="str">
        <f>IFERROR(__xludf.DUMMYFUNCTION("""COMPUTED_VALUE"""),"WATERLOO")</f>
        <v>WATERLOO</v>
      </c>
      <c r="D523" s="8" t="str">
        <f>IFERROR(__xludf.DUMMYFUNCTION("""COMPUTED_VALUE"""),"IA")</f>
        <v>IA</v>
      </c>
      <c r="E523" s="8" t="str">
        <f>IFERROR(__xludf.DUMMYFUNCTION("""COMPUTED_VALUE"""),"USA")</f>
        <v>USA</v>
      </c>
      <c r="F523" s="8" t="str">
        <f>IFERROR(__xludf.DUMMYFUNCTION("""COMPUTED_VALUE"""),"MEN CRICKET DBLS")</f>
        <v>MEN CRICKET DBLS</v>
      </c>
      <c r="G523" s="8" t="str">
        <f>IFERROR(__xludf.DUMMYFUNCTION("""COMPUTED_VALUE"""),"1")</f>
        <v>1</v>
      </c>
      <c r="H523" s="8" t="str">
        <f>IFERROR(__xludf.DUMMYFUNCTION("""COMPUTED_VALUE"""),"BS 37 NE")</f>
        <v>BS 37 NE</v>
      </c>
      <c r="I523" s="9">
        <f>IFERROR(__xludf.DUMMYFUNCTION("""COMPUTED_VALUE"""),45078.0)</f>
        <v>45078</v>
      </c>
      <c r="J523" s="9">
        <f>IFERROR(__xludf.DUMMYFUNCTION("""COMPUTED_VALUE"""),46174.0)</f>
        <v>46174</v>
      </c>
      <c r="K523" s="10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7" t="str">
        <f>IFERROR(__xludf.DUMMYFUNCTION("""COMPUTED_VALUE"""),"TURNER")</f>
        <v>TURNER</v>
      </c>
      <c r="B524" s="8" t="str">
        <f>IFERROR(__xludf.DUMMYFUNCTION("""COMPUTED_VALUE"""),"TYLER")</f>
        <v>TYLER</v>
      </c>
      <c r="C524" s="8" t="str">
        <f>IFERROR(__xludf.DUMMYFUNCTION("""COMPUTED_VALUE"""),"ST. JOSEPH")</f>
        <v>ST. JOSEPH</v>
      </c>
      <c r="D524" s="8" t="str">
        <f>IFERROR(__xludf.DUMMYFUNCTION("""COMPUTED_VALUE"""),"MO")</f>
        <v>MO</v>
      </c>
      <c r="E524" s="8" t="str">
        <f>IFERROR(__xludf.DUMMYFUNCTION("""COMPUTED_VALUE"""),"USA")</f>
        <v>USA</v>
      </c>
      <c r="F524" s="8" t="str">
        <f>IFERROR(__xludf.DUMMYFUNCTION("""COMPUTED_VALUE"""),"MENS DBLS CRICKET")</f>
        <v>MENS DBLS CRICKET</v>
      </c>
      <c r="G524" s="8" t="str">
        <f>IFERROR(__xludf.DUMMYFUNCTION("""COMPUTED_VALUE"""),"3RD")</f>
        <v>3RD</v>
      </c>
      <c r="H524" s="8" t="str">
        <f>IFERROR(__xludf.DUMMYFUNCTION("""COMPUTED_VALUE"""),"BS 36 REGIONAL NE")</f>
        <v>BS 36 REGIONAL NE</v>
      </c>
      <c r="I524" s="9">
        <f>IFERROR(__xludf.DUMMYFUNCTION("""COMPUTED_VALUE"""),44713.0)</f>
        <v>44713</v>
      </c>
      <c r="J524" s="9">
        <f>IFERROR(__xludf.DUMMYFUNCTION("""COMPUTED_VALUE"""),45809.0)</f>
        <v>45809</v>
      </c>
      <c r="K524" s="10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7" t="str">
        <f>IFERROR(__xludf.DUMMYFUNCTION("""COMPUTED_VALUE"""),"ULEBERG")</f>
        <v>ULEBERG</v>
      </c>
      <c r="B525" s="8" t="str">
        <f>IFERROR(__xludf.DUMMYFUNCTION("""COMPUTED_VALUE"""),"DAMON")</f>
        <v>DAMON</v>
      </c>
      <c r="C525" s="8" t="str">
        <f>IFERROR(__xludf.DUMMYFUNCTION("""COMPUTED_VALUE"""),"CASPER")</f>
        <v>CASPER</v>
      </c>
      <c r="D525" s="8" t="str">
        <f>IFERROR(__xludf.DUMMYFUNCTION("""COMPUTED_VALUE"""),"WY")</f>
        <v>WY</v>
      </c>
      <c r="E525" s="8" t="str">
        <f>IFERROR(__xludf.DUMMYFUNCTION("""COMPUTED_VALUE"""),"USA")</f>
        <v>USA</v>
      </c>
      <c r="F525" s="8" t="str">
        <f>IFERROR(__xludf.DUMMYFUNCTION("""COMPUTED_VALUE"""),".")</f>
        <v>.</v>
      </c>
      <c r="G525" s="8" t="str">
        <f>IFERROR(__xludf.DUMMYFUNCTION("""COMPUTED_VALUE"""),"1ST")</f>
        <v>1ST</v>
      </c>
      <c r="H525" s="8" t="str">
        <f>IFERROR(__xludf.DUMMYFUNCTION("""COMPUTED_VALUE"""),"BS 36 REGIONAL WY")</f>
        <v>BS 36 REGIONAL WY</v>
      </c>
      <c r="I525" s="9">
        <f>IFERROR(__xludf.DUMMYFUNCTION("""COMPUTED_VALUE"""),44713.0)</f>
        <v>44713</v>
      </c>
      <c r="J525" s="9">
        <f>IFERROR(__xludf.DUMMYFUNCTION("""COMPUTED_VALUE"""),45809.0)</f>
        <v>45809</v>
      </c>
      <c r="K525" s="10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7" t="str">
        <f>IFERROR(__xludf.DUMMYFUNCTION("""COMPUTED_VALUE"""),"Ulry")</f>
        <v>Ulry</v>
      </c>
      <c r="B526" s="8" t="str">
        <f>IFERROR(__xludf.DUMMYFUNCTION("""COMPUTED_VALUE"""),"Steven")</f>
        <v>Steven</v>
      </c>
      <c r="C526" s="8" t="str">
        <f>IFERROR(__xludf.DUMMYFUNCTION("""COMPUTED_VALUE"""),"Green Bay")</f>
        <v>Green Bay</v>
      </c>
      <c r="D526" s="8" t="str">
        <f>IFERROR(__xludf.DUMMYFUNCTION("""COMPUTED_VALUE"""),"WI")</f>
        <v>WI</v>
      </c>
      <c r="E526" s="8" t="str">
        <f>IFERROR(__xludf.DUMMYFUNCTION("""COMPUTED_VALUE"""),"USA")</f>
        <v>USA</v>
      </c>
      <c r="F526" s="8" t="str">
        <f>IFERROR(__xludf.DUMMYFUNCTION("""COMPUTED_VALUE"""),"Mens Doubles")</f>
        <v>Mens Doubles</v>
      </c>
      <c r="G526" s="8" t="str">
        <f>IFERROR(__xludf.DUMMYFUNCTION("""COMPUTED_VALUE"""),"2nd")</f>
        <v>2nd</v>
      </c>
      <c r="H526" s="8" t="str">
        <f>IFERROR(__xludf.DUMMYFUNCTION("""COMPUTED_VALUE"""),"Known Ability")</f>
        <v>Known Ability</v>
      </c>
      <c r="I526" s="9">
        <f>IFERROR(__xludf.DUMMYFUNCTION("""COMPUTED_VALUE"""),36892.0)</f>
        <v>36892</v>
      </c>
      <c r="J526" s="9">
        <f>IFERROR(__xludf.DUMMYFUNCTION("""COMPUTED_VALUE"""),47635.0)</f>
        <v>47635</v>
      </c>
      <c r="K526" s="10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7" t="str">
        <f>IFERROR(__xludf.DUMMYFUNCTION("""COMPUTED_VALUE"""),"UNDERWOOD")</f>
        <v>UNDERWOOD</v>
      </c>
      <c r="B527" s="8" t="str">
        <f>IFERROR(__xludf.DUMMYFUNCTION("""COMPUTED_VALUE"""),"KARTER")</f>
        <v>KARTER</v>
      </c>
      <c r="C527" s="8" t="str">
        <f>IFERROR(__xludf.DUMMYFUNCTION("""COMPUTED_VALUE"""),"MOSINEE")</f>
        <v>MOSINEE</v>
      </c>
      <c r="D527" s="8" t="str">
        <f>IFERROR(__xludf.DUMMYFUNCTION("""COMPUTED_VALUE"""),"WI")</f>
        <v>WI</v>
      </c>
      <c r="E527" s="8" t="str">
        <f>IFERROR(__xludf.DUMMYFUNCTION("""COMPUTED_VALUE"""),"USA")</f>
        <v>USA</v>
      </c>
      <c r="F527" s="8" t="str">
        <f>IFERROR(__xludf.DUMMYFUNCTION("""COMPUTED_VALUE"""),"PRO MEN SINGLES")</f>
        <v>PRO MEN SINGLES</v>
      </c>
      <c r="G527" s="8" t="str">
        <f>IFERROR(__xludf.DUMMYFUNCTION("""COMPUTED_VALUE"""),"7 8")</f>
        <v>7 8</v>
      </c>
      <c r="H527" s="8" t="str">
        <f>IFERROR(__xludf.DUMMYFUNCTION("""COMPUTED_VALUE"""),"BS 37 FINALS")</f>
        <v>BS 37 FINALS</v>
      </c>
      <c r="I527" s="9">
        <f>IFERROR(__xludf.DUMMYFUNCTION("""COMPUTED_VALUE"""),45078.0)</f>
        <v>45078</v>
      </c>
      <c r="J527" s="9">
        <f>IFERROR(__xludf.DUMMYFUNCTION("""COMPUTED_VALUE"""),46174.0)</f>
        <v>46174</v>
      </c>
      <c r="K527" s="10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7" t="str">
        <f>IFERROR(__xludf.DUMMYFUNCTION("""COMPUTED_VALUE"""),"Utz")</f>
        <v>Utz</v>
      </c>
      <c r="B528" s="8" t="str">
        <f>IFERROR(__xludf.DUMMYFUNCTION("""COMPUTED_VALUE"""),"Don")</f>
        <v>Don</v>
      </c>
      <c r="C528" s="8"/>
      <c r="D528" s="8"/>
      <c r="E528" s="8"/>
      <c r="F528" s="8" t="str">
        <f>IFERROR(__xludf.DUMMYFUNCTION("""COMPUTED_VALUE"""),"Men Cricket Dbls")</f>
        <v>Men Cricket Dbls</v>
      </c>
      <c r="G528" s="8" t="str">
        <f>IFERROR(__xludf.DUMMYFUNCTION("""COMPUTED_VALUE"""),"3rd")</f>
        <v>3rd</v>
      </c>
      <c r="H528" s="8" t="str">
        <f>IFERROR(__xludf.DUMMYFUNCTION("""COMPUTED_VALUE"""),"BS 38 Finals")</f>
        <v>BS 38 Finals</v>
      </c>
      <c r="I528" s="9">
        <f>IFERROR(__xludf.DUMMYFUNCTION("""COMPUTED_VALUE"""),45444.0)</f>
        <v>45444</v>
      </c>
      <c r="J528" s="9">
        <f>IFERROR(__xludf.DUMMYFUNCTION("""COMPUTED_VALUE"""),46539.0)</f>
        <v>46539</v>
      </c>
      <c r="K528" s="10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7" t="str">
        <f>IFERROR(__xludf.DUMMYFUNCTION("""COMPUTED_VALUE"""),"VAN BEEK")</f>
        <v>VAN BEEK</v>
      </c>
      <c r="B529" s="8" t="str">
        <f>IFERROR(__xludf.DUMMYFUNCTION("""COMPUTED_VALUE"""),"HUNTER")</f>
        <v>HUNTER</v>
      </c>
      <c r="C529" s="8" t="str">
        <f>IFERROR(__xludf.DUMMYFUNCTION("""COMPUTED_VALUE"""),"MITCHELL")</f>
        <v>MITCHELL</v>
      </c>
      <c r="D529" s="8" t="str">
        <f>IFERROR(__xludf.DUMMYFUNCTION("""COMPUTED_VALUE"""),"SD")</f>
        <v>SD</v>
      </c>
      <c r="E529" s="8" t="str">
        <f>IFERROR(__xludf.DUMMYFUNCTION("""COMPUTED_VALUE"""),"USA")</f>
        <v>USA</v>
      </c>
      <c r="F529" s="8" t="str">
        <f>IFERROR(__xludf.DUMMYFUNCTION("""COMPUTED_VALUE"""),"MIXED 701 TRIPLES")</f>
        <v>MIXED 701 TRIPLES</v>
      </c>
      <c r="G529" s="8" t="str">
        <f>IFERROR(__xludf.DUMMYFUNCTION("""COMPUTED_VALUE"""),"1")</f>
        <v>1</v>
      </c>
      <c r="H529" s="8" t="str">
        <f>IFERROR(__xludf.DUMMYFUNCTION("""COMPUTED_VALUE"""),"BS 37 NE")</f>
        <v>BS 37 NE</v>
      </c>
      <c r="I529" s="9">
        <f>IFERROR(__xludf.DUMMYFUNCTION("""COMPUTED_VALUE"""),45078.0)</f>
        <v>45078</v>
      </c>
      <c r="J529" s="9">
        <f>IFERROR(__xludf.DUMMYFUNCTION("""COMPUTED_VALUE"""),46174.0)</f>
        <v>46174</v>
      </c>
      <c r="K529" s="10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7" t="str">
        <f>IFERROR(__xludf.DUMMYFUNCTION("""COMPUTED_VALUE"""),"Van Deurson")</f>
        <v>Van Deurson</v>
      </c>
      <c r="B530" s="8" t="str">
        <f>IFERROR(__xludf.DUMMYFUNCTION("""COMPUTED_VALUE"""),"Randy")</f>
        <v>Randy</v>
      </c>
      <c r="C530" s="8" t="str">
        <f>IFERROR(__xludf.DUMMYFUNCTION("""COMPUTED_VALUE"""),"Lindenhurst")</f>
        <v>Lindenhurst</v>
      </c>
      <c r="D530" s="8" t="str">
        <f>IFERROR(__xludf.DUMMYFUNCTION("""COMPUTED_VALUE"""),"IL")</f>
        <v>IL</v>
      </c>
      <c r="E530" s="8" t="str">
        <f>IFERROR(__xludf.DUMMYFUNCTION("""COMPUTED_VALUE"""),"USA")</f>
        <v>USA</v>
      </c>
      <c r="F530" s="8" t="str">
        <f>IFERROR(__xludf.DUMMYFUNCTION("""COMPUTED_VALUE"""),"Pro AA 501 Doubles")</f>
        <v>Pro AA 501 Doubles</v>
      </c>
      <c r="G530" s="8" t="str">
        <f>IFERROR(__xludf.DUMMYFUNCTION("""COMPUTED_VALUE"""),"4th")</f>
        <v>4th</v>
      </c>
      <c r="H530" s="8" t="str">
        <f>IFERROR(__xludf.DUMMYFUNCTION("""COMPUTED_VALUE"""),"BullShooter 34 Finals")</f>
        <v>BullShooter 34 Finals</v>
      </c>
      <c r="I530" s="9">
        <f>IFERROR(__xludf.DUMMYFUNCTION("""COMPUTED_VALUE"""),43617.0)</f>
        <v>43617</v>
      </c>
      <c r="J530" s="9">
        <f>IFERROR(__xludf.DUMMYFUNCTION("""COMPUTED_VALUE"""),45809.0)</f>
        <v>45809</v>
      </c>
      <c r="K530" s="10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7" t="str">
        <f>IFERROR(__xludf.DUMMYFUNCTION("""COMPUTED_VALUE"""),"Van Droogenbroeck")</f>
        <v>Van Droogenbroeck</v>
      </c>
      <c r="B531" s="8" t="str">
        <f>IFERROR(__xludf.DUMMYFUNCTION("""COMPUTED_VALUE"""),"Eddy")</f>
        <v>Eddy</v>
      </c>
      <c r="C531" s="8"/>
      <c r="D531" s="8" t="str">
        <f>IFERROR(__xludf.DUMMYFUNCTION("""COMPUTED_VALUE"""),"UNK")</f>
        <v>UNK</v>
      </c>
      <c r="E531" s="8" t="str">
        <f>IFERROR(__xludf.DUMMYFUNCTION("""COMPUTED_VALUE"""),"Belgium")</f>
        <v>Belgium</v>
      </c>
      <c r="F531" s="8" t="str">
        <f>IFERROR(__xludf.DUMMYFUNCTION("""COMPUTED_VALUE"""),"Known Pro")</f>
        <v>Known Pro</v>
      </c>
      <c r="G531" s="8"/>
      <c r="H531" s="8" t="str">
        <f>IFERROR(__xludf.DUMMYFUNCTION("""COMPUTED_VALUE"""),"Known Ability")</f>
        <v>Known Ability</v>
      </c>
      <c r="I531" s="9">
        <f>IFERROR(__xludf.DUMMYFUNCTION("""COMPUTED_VALUE"""),36892.0)</f>
        <v>36892</v>
      </c>
      <c r="J531" s="9">
        <f>IFERROR(__xludf.DUMMYFUNCTION("""COMPUTED_VALUE"""),47635.0)</f>
        <v>47635</v>
      </c>
      <c r="K531" s="10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7" t="str">
        <f>IFERROR(__xludf.DUMMYFUNCTION("""COMPUTED_VALUE"""),"Van Goietsenoven")</f>
        <v>Van Goietsenoven</v>
      </c>
      <c r="B532" s="8" t="str">
        <f>IFERROR(__xludf.DUMMYFUNCTION("""COMPUTED_VALUE"""),"Joel")</f>
        <v>Joel</v>
      </c>
      <c r="C532" s="8"/>
      <c r="D532" s="8" t="str">
        <f>IFERROR(__xludf.DUMMYFUNCTION("""COMPUTED_VALUE"""),"UNK")</f>
        <v>UNK</v>
      </c>
      <c r="E532" s="8" t="str">
        <f>IFERROR(__xludf.DUMMYFUNCTION("""COMPUTED_VALUE"""),"Belgium")</f>
        <v>Belgium</v>
      </c>
      <c r="F532" s="8" t="str">
        <f>IFERROR(__xludf.DUMMYFUNCTION("""COMPUTED_VALUE"""),"Known Pro")</f>
        <v>Known Pro</v>
      </c>
      <c r="G532" s="8"/>
      <c r="H532" s="8" t="str">
        <f>IFERROR(__xludf.DUMMYFUNCTION("""COMPUTED_VALUE"""),"Known Ability")</f>
        <v>Known Ability</v>
      </c>
      <c r="I532" s="9">
        <f>IFERROR(__xludf.DUMMYFUNCTION("""COMPUTED_VALUE"""),36892.0)</f>
        <v>36892</v>
      </c>
      <c r="J532" s="9">
        <f>IFERROR(__xludf.DUMMYFUNCTION("""COMPUTED_VALUE"""),47635.0)</f>
        <v>47635</v>
      </c>
      <c r="K532" s="10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7" t="str">
        <f>IFERROR(__xludf.DUMMYFUNCTION("""COMPUTED_VALUE"""),"Van Peer")</f>
        <v>Van Peer</v>
      </c>
      <c r="B533" s="8" t="str">
        <f>IFERROR(__xludf.DUMMYFUNCTION("""COMPUTED_VALUE"""),"Berry")</f>
        <v>Berry</v>
      </c>
      <c r="C533" s="8"/>
      <c r="D533" s="8"/>
      <c r="E533" s="8" t="str">
        <f>IFERROR(__xludf.DUMMYFUNCTION("""COMPUTED_VALUE"""),"NETHERLANDS")</f>
        <v>NETHERLANDS</v>
      </c>
      <c r="F533" s="8" t="str">
        <f>IFERROR(__xludf.DUMMYFUNCTION("""COMPUTED_VALUE"""),"Pro AA 501 Doubles")</f>
        <v>Pro AA 501 Doubles</v>
      </c>
      <c r="G533" s="8" t="str">
        <f>IFERROR(__xludf.DUMMYFUNCTION("""COMPUTED_VALUE"""),"3rd")</f>
        <v>3rd</v>
      </c>
      <c r="H533" s="8" t="str">
        <f>IFERROR(__xludf.DUMMYFUNCTION("""COMPUTED_VALUE"""),"BullShooter 34 Finals")</f>
        <v>BullShooter 34 Finals</v>
      </c>
      <c r="I533" s="9">
        <f>IFERROR(__xludf.DUMMYFUNCTION("""COMPUTED_VALUE"""),43617.0)</f>
        <v>43617</v>
      </c>
      <c r="J533" s="9">
        <f>IFERROR(__xludf.DUMMYFUNCTION("""COMPUTED_VALUE"""),45809.0)</f>
        <v>45809</v>
      </c>
      <c r="K533" s="10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7" t="str">
        <f>IFERROR(__xludf.DUMMYFUNCTION("""COMPUTED_VALUE"""),"Van Zant")</f>
        <v>Van Zant</v>
      </c>
      <c r="B534" s="8" t="str">
        <f>IFERROR(__xludf.DUMMYFUNCTION("""COMPUTED_VALUE"""),"Jason")</f>
        <v>Jason</v>
      </c>
      <c r="C534" s="8" t="str">
        <f>IFERROR(__xludf.DUMMYFUNCTION("""COMPUTED_VALUE"""),"Kettering")</f>
        <v>Kettering</v>
      </c>
      <c r="D534" s="8" t="str">
        <f>IFERROR(__xludf.DUMMYFUNCTION("""COMPUTED_VALUE"""),"OH")</f>
        <v>OH</v>
      </c>
      <c r="E534" s="8" t="str">
        <f>IFERROR(__xludf.DUMMYFUNCTION("""COMPUTED_VALUE"""),"USA")</f>
        <v>USA</v>
      </c>
      <c r="F534" s="8" t="str">
        <f>IFERROR(__xludf.DUMMYFUNCTION("""COMPUTED_VALUE"""),"TopGun A/AA Triples")</f>
        <v>TopGun A/AA Triples</v>
      </c>
      <c r="G534" s="8" t="str">
        <f>IFERROR(__xludf.DUMMYFUNCTION("""COMPUTED_VALUE"""),"3rd")</f>
        <v>3rd</v>
      </c>
      <c r="H534" s="8" t="str">
        <f>IFERROR(__xludf.DUMMYFUNCTION("""COMPUTED_VALUE"""),"BullShooter 34 Finals")</f>
        <v>BullShooter 34 Finals</v>
      </c>
      <c r="I534" s="9">
        <f>IFERROR(__xludf.DUMMYFUNCTION("""COMPUTED_VALUE"""),43617.0)</f>
        <v>43617</v>
      </c>
      <c r="J534" s="9">
        <f>IFERROR(__xludf.DUMMYFUNCTION("""COMPUTED_VALUE"""),45809.0)</f>
        <v>45809</v>
      </c>
      <c r="K534" s="10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7" t="str">
        <f>IFERROR(__xludf.DUMMYFUNCTION("""COMPUTED_VALUE"""),"VANKAMPEN")</f>
        <v>VANKAMPEN</v>
      </c>
      <c r="B535" s="8" t="str">
        <f>IFERROR(__xludf.DUMMYFUNCTION("""COMPUTED_VALUE"""),"KEEGAN")</f>
        <v>KEEGAN</v>
      </c>
      <c r="C535" s="8" t="str">
        <f>IFERROR(__xludf.DUMMYFUNCTION("""COMPUTED_VALUE"""),"CLINTON")</f>
        <v>CLINTON</v>
      </c>
      <c r="D535" s="8" t="str">
        <f>IFERROR(__xludf.DUMMYFUNCTION("""COMPUTED_VALUE"""),"IA")</f>
        <v>IA</v>
      </c>
      <c r="E535" s="8" t="str">
        <f>IFERROR(__xludf.DUMMYFUNCTION("""COMPUTED_VALUE"""),"USA")</f>
        <v>USA</v>
      </c>
      <c r="F535" s="8" t="str">
        <f>IFERROR(__xludf.DUMMYFUNCTION("""COMPUTED_VALUE"""),"MEN 501 DBLS")</f>
        <v>MEN 501 DBLS</v>
      </c>
      <c r="G535" s="8" t="str">
        <f>IFERROR(__xludf.DUMMYFUNCTION("""COMPUTED_VALUE"""),"3")</f>
        <v>3</v>
      </c>
      <c r="H535" s="8" t="str">
        <f>IFERROR(__xludf.DUMMYFUNCTION("""COMPUTED_VALUE"""),"BS 37 NE")</f>
        <v>BS 37 NE</v>
      </c>
      <c r="I535" s="9">
        <f>IFERROR(__xludf.DUMMYFUNCTION("""COMPUTED_VALUE"""),45078.0)</f>
        <v>45078</v>
      </c>
      <c r="J535" s="9">
        <f>IFERROR(__xludf.DUMMYFUNCTION("""COMPUTED_VALUE"""),46174.0)</f>
        <v>46174</v>
      </c>
      <c r="K535" s="1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7" t="str">
        <f>IFERROR(__xludf.DUMMYFUNCTION("""COMPUTED_VALUE"""),"VANKAMPEN")</f>
        <v>VANKAMPEN</v>
      </c>
      <c r="B536" s="8" t="str">
        <f>IFERROR(__xludf.DUMMYFUNCTION("""COMPUTED_VALUE"""),"LEE ROY")</f>
        <v>LEE ROY</v>
      </c>
      <c r="C536" s="8" t="str">
        <f>IFERROR(__xludf.DUMMYFUNCTION("""COMPUTED_VALUE"""),"CLINTON")</f>
        <v>CLINTON</v>
      </c>
      <c r="D536" s="8" t="str">
        <f>IFERROR(__xludf.DUMMYFUNCTION("""COMPUTED_VALUE"""),"IA")</f>
        <v>IA</v>
      </c>
      <c r="E536" s="8" t="str">
        <f>IFERROR(__xludf.DUMMYFUNCTION("""COMPUTED_VALUE"""),"USA")</f>
        <v>USA</v>
      </c>
      <c r="F536" s="8" t="str">
        <f>IFERROR(__xludf.DUMMYFUNCTION("""COMPUTED_VALUE"""),"MEN 501 DBLS")</f>
        <v>MEN 501 DBLS</v>
      </c>
      <c r="G536" s="8" t="str">
        <f>IFERROR(__xludf.DUMMYFUNCTION("""COMPUTED_VALUE"""),"3")</f>
        <v>3</v>
      </c>
      <c r="H536" s="8" t="str">
        <f>IFERROR(__xludf.DUMMYFUNCTION("""COMPUTED_VALUE"""),"BS 37 NE")</f>
        <v>BS 37 NE</v>
      </c>
      <c r="I536" s="9">
        <f>IFERROR(__xludf.DUMMYFUNCTION("""COMPUTED_VALUE"""),45078.0)</f>
        <v>45078</v>
      </c>
      <c r="J536" s="9">
        <f>IFERROR(__xludf.DUMMYFUNCTION("""COMPUTED_VALUE"""),46174.0)</f>
        <v>46174</v>
      </c>
      <c r="K536" s="1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7" t="str">
        <f>IFERROR(__xludf.DUMMYFUNCTION("""COMPUTED_VALUE"""),"Verner")</f>
        <v>Verner</v>
      </c>
      <c r="B537" s="8" t="str">
        <f>IFERROR(__xludf.DUMMYFUNCTION("""COMPUTED_VALUE"""),"G. R.")</f>
        <v>G. R.</v>
      </c>
      <c r="C537" s="8" t="str">
        <f>IFERROR(__xludf.DUMMYFUNCTION("""COMPUTED_VALUE"""),"Bethel Park")</f>
        <v>Bethel Park</v>
      </c>
      <c r="D537" s="8" t="str">
        <f>IFERROR(__xludf.DUMMYFUNCTION("""COMPUTED_VALUE"""),"PA")</f>
        <v>PA</v>
      </c>
      <c r="E537" s="8" t="str">
        <f>IFERROR(__xludf.DUMMYFUNCTION("""COMPUTED_VALUE"""),"USA")</f>
        <v>USA</v>
      </c>
      <c r="F537" s="8" t="str">
        <f>IFERROR(__xludf.DUMMYFUNCTION("""COMPUTED_VALUE"""),"Known Pro")</f>
        <v>Known Pro</v>
      </c>
      <c r="G537" s="8"/>
      <c r="H537" s="8" t="str">
        <f>IFERROR(__xludf.DUMMYFUNCTION("""COMPUTED_VALUE"""),"Known Ability")</f>
        <v>Known Ability</v>
      </c>
      <c r="I537" s="9">
        <f>IFERROR(__xludf.DUMMYFUNCTION("""COMPUTED_VALUE"""),40330.0)</f>
        <v>40330</v>
      </c>
      <c r="J537" s="9">
        <f>IFERROR(__xludf.DUMMYFUNCTION("""COMPUTED_VALUE"""),47635.0)</f>
        <v>47635</v>
      </c>
      <c r="K537" s="1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7" t="str">
        <f>IFERROR(__xludf.DUMMYFUNCTION("""COMPUTED_VALUE"""),"Verrier")</f>
        <v>Verrier</v>
      </c>
      <c r="B538" s="8" t="str">
        <f>IFERROR(__xludf.DUMMYFUNCTION("""COMPUTED_VALUE"""),"Gerald")</f>
        <v>Gerald</v>
      </c>
      <c r="C538" s="8" t="str">
        <f>IFERROR(__xludf.DUMMYFUNCTION("""COMPUTED_VALUE"""),"Salem")</f>
        <v>Salem</v>
      </c>
      <c r="D538" s="8" t="str">
        <f>IFERROR(__xludf.DUMMYFUNCTION("""COMPUTED_VALUE"""),"OR")</f>
        <v>OR</v>
      </c>
      <c r="E538" s="8" t="str">
        <f>IFERROR(__xludf.DUMMYFUNCTION("""COMPUTED_VALUE"""),"USA")</f>
        <v>USA</v>
      </c>
      <c r="F538" s="8" t="str">
        <f>IFERROR(__xludf.DUMMYFUNCTION("""COMPUTED_VALUE"""),"Known Pro")</f>
        <v>Known Pro</v>
      </c>
      <c r="G538" s="8"/>
      <c r="H538" s="8" t="str">
        <f>IFERROR(__xludf.DUMMYFUNCTION("""COMPUTED_VALUE"""),"Known Ability")</f>
        <v>Known Ability</v>
      </c>
      <c r="I538" s="9">
        <f>IFERROR(__xludf.DUMMYFUNCTION("""COMPUTED_VALUE"""),36892.0)</f>
        <v>36892</v>
      </c>
      <c r="J538" s="9">
        <f>IFERROR(__xludf.DUMMYFUNCTION("""COMPUTED_VALUE"""),47635.0)</f>
        <v>47635</v>
      </c>
      <c r="K538" s="1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7" t="str">
        <f>IFERROR(__xludf.DUMMYFUNCTION("""COMPUTED_VALUE"""),"VILLEDA")</f>
        <v>VILLEDA</v>
      </c>
      <c r="B539" s="8" t="str">
        <f>IFERROR(__xludf.DUMMYFUNCTION("""COMPUTED_VALUE"""),"ERNESTO")</f>
        <v>ERNESTO</v>
      </c>
      <c r="C539" s="8" t="str">
        <f>IFERROR(__xludf.DUMMYFUNCTION("""COMPUTED_VALUE"""),"WINTER HAVEN")</f>
        <v>WINTER HAVEN</v>
      </c>
      <c r="D539" s="8" t="str">
        <f>IFERROR(__xludf.DUMMYFUNCTION("""COMPUTED_VALUE"""),"FL")</f>
        <v>FL</v>
      </c>
      <c r="E539" s="8" t="str">
        <f>IFERROR(__xludf.DUMMYFUNCTION("""COMPUTED_VALUE"""),"USA")</f>
        <v>USA</v>
      </c>
      <c r="F539" s="8" t="str">
        <f>IFERROR(__xludf.DUMMYFUNCTION("""COMPUTED_VALUE"""),"MEN 501 DBLS")</f>
        <v>MEN 501 DBLS</v>
      </c>
      <c r="G539" s="8" t="str">
        <f>IFERROR(__xludf.DUMMYFUNCTION("""COMPUTED_VALUE"""),"1")</f>
        <v>1</v>
      </c>
      <c r="H539" s="8" t="str">
        <f>IFERROR(__xludf.DUMMYFUNCTION("""COMPUTED_VALUE"""),"BS 37 FL")</f>
        <v>BS 37 FL</v>
      </c>
      <c r="I539" s="9">
        <f>IFERROR(__xludf.DUMMYFUNCTION("""COMPUTED_VALUE"""),45078.0)</f>
        <v>45078</v>
      </c>
      <c r="J539" s="9">
        <f>IFERROR(__xludf.DUMMYFUNCTION("""COMPUTED_VALUE"""),46174.0)</f>
        <v>46174</v>
      </c>
      <c r="K539" s="1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7" t="str">
        <f>IFERROR(__xludf.DUMMYFUNCTION("""COMPUTED_VALUE"""),"WADE")</f>
        <v>WADE</v>
      </c>
      <c r="B540" s="8" t="str">
        <f>IFERROR(__xludf.DUMMYFUNCTION("""COMPUTED_VALUE"""),"JERMAINE")</f>
        <v>JERMAINE</v>
      </c>
      <c r="C540" s="8" t="str">
        <f>IFERROR(__xludf.DUMMYFUNCTION("""COMPUTED_VALUE"""),"LEAVENWORTH")</f>
        <v>LEAVENWORTH</v>
      </c>
      <c r="D540" s="8" t="str">
        <f>IFERROR(__xludf.DUMMYFUNCTION("""COMPUTED_VALUE"""),"WA")</f>
        <v>WA</v>
      </c>
      <c r="E540" s="8" t="str">
        <f>IFERROR(__xludf.DUMMYFUNCTION("""COMPUTED_VALUE"""),"USA")</f>
        <v>USA</v>
      </c>
      <c r="F540" s="8" t="str">
        <f>IFERROR(__xludf.DUMMYFUNCTION("""COMPUTED_VALUE"""),"MEN DBLS 501")</f>
        <v>MEN DBLS 501</v>
      </c>
      <c r="G540" s="8" t="str">
        <f>IFERROR(__xludf.DUMMYFUNCTION("""COMPUTED_VALUE"""),"3RD")</f>
        <v>3RD</v>
      </c>
      <c r="H540" s="8" t="str">
        <f>IFERROR(__xludf.DUMMYFUNCTION("""COMPUTED_VALUE"""),"WA REGIONAL BS 38")</f>
        <v>WA REGIONAL BS 38</v>
      </c>
      <c r="I540" s="9">
        <f>IFERROR(__xludf.DUMMYFUNCTION("""COMPUTED_VALUE"""),45444.0)</f>
        <v>45444</v>
      </c>
      <c r="J540" s="9">
        <f>IFERROR(__xludf.DUMMYFUNCTION("""COMPUTED_VALUE"""),46539.0)</f>
        <v>46539</v>
      </c>
      <c r="K540" s="1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7" t="str">
        <f>IFERROR(__xludf.DUMMYFUNCTION("""COMPUTED_VALUE"""),"WALLETTE")</f>
        <v>WALLETTE</v>
      </c>
      <c r="B541" s="8" t="str">
        <f>IFERROR(__xludf.DUMMYFUNCTION("""COMPUTED_VALUE"""),"LINUS")</f>
        <v>LINUS</v>
      </c>
      <c r="C541" s="8" t="str">
        <f>IFERROR(__xludf.DUMMYFUNCTION("""COMPUTED_VALUE"""),"BEL COURT")</f>
        <v>BEL COURT</v>
      </c>
      <c r="D541" s="8" t="str">
        <f>IFERROR(__xludf.DUMMYFUNCTION("""COMPUTED_VALUE"""),"ND")</f>
        <v>ND</v>
      </c>
      <c r="E541" s="8" t="str">
        <f>IFERROR(__xludf.DUMMYFUNCTION("""COMPUTED_VALUE"""),"USA")</f>
        <v>USA</v>
      </c>
      <c r="F541" s="8" t="str">
        <f>IFERROR(__xludf.DUMMYFUNCTION("""COMPUTED_VALUE"""),"MEN'S DBLS 501")</f>
        <v>MEN'S DBLS 501</v>
      </c>
      <c r="G541" s="8" t="str">
        <f>IFERROR(__xludf.DUMMYFUNCTION("""COMPUTED_VALUE"""),"3RD")</f>
        <v>3RD</v>
      </c>
      <c r="H541" s="8" t="str">
        <f>IFERROR(__xludf.DUMMYFUNCTION("""COMPUTED_VALUE"""),"BULLSHOOTER 36 FINALS")</f>
        <v>BULLSHOOTER 36 FINALS</v>
      </c>
      <c r="I541" s="9">
        <f>IFERROR(__xludf.DUMMYFUNCTION("""COMPUTED_VALUE"""),44713.0)</f>
        <v>44713</v>
      </c>
      <c r="J541" s="9">
        <f>IFERROR(__xludf.DUMMYFUNCTION("""COMPUTED_VALUE"""),45809.0)</f>
        <v>45809</v>
      </c>
      <c r="K541" s="1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7" t="str">
        <f>IFERROR(__xludf.DUMMYFUNCTION("""COMPUTED_VALUE"""),"WALTON")</f>
        <v>WALTON</v>
      </c>
      <c r="B542" s="8" t="str">
        <f>IFERROR(__xludf.DUMMYFUNCTION("""COMPUTED_VALUE"""),"LAURENCE")</f>
        <v>LAURENCE</v>
      </c>
      <c r="C542" s="8" t="str">
        <f>IFERROR(__xludf.DUMMYFUNCTION("""COMPUTED_VALUE"""),"MEBANE")</f>
        <v>MEBANE</v>
      </c>
      <c r="D542" s="8" t="str">
        <f>IFERROR(__xludf.DUMMYFUNCTION("""COMPUTED_VALUE"""),"NC")</f>
        <v>NC</v>
      </c>
      <c r="E542" s="8" t="str">
        <f>IFERROR(__xludf.DUMMYFUNCTION("""COMPUTED_VALUE"""),"USA")</f>
        <v>USA</v>
      </c>
      <c r="F542" s="8" t="str">
        <f>IFERROR(__xludf.DUMMYFUNCTION("""COMPUTED_VALUE"""),"MEN 501 DBLS")</f>
        <v>MEN 501 DBLS</v>
      </c>
      <c r="G542" s="8" t="str">
        <f>IFERROR(__xludf.DUMMYFUNCTION("""COMPUTED_VALUE"""),"1")</f>
        <v>1</v>
      </c>
      <c r="H542" s="8" t="str">
        <f>IFERROR(__xludf.DUMMYFUNCTION("""COMPUTED_VALUE"""),"BS 37 SC")</f>
        <v>BS 37 SC</v>
      </c>
      <c r="I542" s="9">
        <f>IFERROR(__xludf.DUMMYFUNCTION("""COMPUTED_VALUE"""),45078.0)</f>
        <v>45078</v>
      </c>
      <c r="J542" s="9">
        <f>IFERROR(__xludf.DUMMYFUNCTION("""COMPUTED_VALUE"""),46174.0)</f>
        <v>46174</v>
      </c>
      <c r="K542" s="1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7" t="str">
        <f>IFERROR(__xludf.DUMMYFUNCTION("""COMPUTED_VALUE"""),"WALTON JR")</f>
        <v>WALTON JR</v>
      </c>
      <c r="B543" s="8" t="str">
        <f>IFERROR(__xludf.DUMMYFUNCTION("""COMPUTED_VALUE"""),"ROBERT")</f>
        <v>ROBERT</v>
      </c>
      <c r="C543" s="8" t="str">
        <f>IFERROR(__xludf.DUMMYFUNCTION("""COMPUTED_VALUE"""),"BETHEL PARK")</f>
        <v>BETHEL PARK</v>
      </c>
      <c r="D543" s="8" t="str">
        <f>IFERROR(__xludf.DUMMYFUNCTION("""COMPUTED_VALUE"""),"PA")</f>
        <v>PA</v>
      </c>
      <c r="E543" s="8" t="str">
        <f>IFERROR(__xludf.DUMMYFUNCTION("""COMPUTED_VALUE"""),"USA")</f>
        <v>USA</v>
      </c>
      <c r="F543" s="8" t="str">
        <f>IFERROR(__xludf.DUMMYFUNCTION("""COMPUTED_VALUE"""),"MENS DBLS CRICKET")</f>
        <v>MENS DBLS CRICKET</v>
      </c>
      <c r="G543" s="8" t="str">
        <f>IFERROR(__xludf.DUMMYFUNCTION("""COMPUTED_VALUE"""),"2ND")</f>
        <v>2ND</v>
      </c>
      <c r="H543" s="8" t="str">
        <f>IFERROR(__xludf.DUMMYFUNCTION("""COMPUTED_VALUE"""),"BS 36 REGIONAL PA")</f>
        <v>BS 36 REGIONAL PA</v>
      </c>
      <c r="I543" s="9">
        <f>IFERROR(__xludf.DUMMYFUNCTION("""COMPUTED_VALUE"""),44713.0)</f>
        <v>44713</v>
      </c>
      <c r="J543" s="9">
        <f>IFERROR(__xludf.DUMMYFUNCTION("""COMPUTED_VALUE"""),45809.0)</f>
        <v>45809</v>
      </c>
      <c r="K543" s="1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7" t="str">
        <f>IFERROR(__xludf.DUMMYFUNCTION("""COMPUTED_VALUE"""),"WARD")</f>
        <v>WARD</v>
      </c>
      <c r="B544" s="8" t="str">
        <f>IFERROR(__xludf.DUMMYFUNCTION("""COMPUTED_VALUE"""),"JODY")</f>
        <v>JODY</v>
      </c>
      <c r="C544" s="8" t="str">
        <f>IFERROR(__xludf.DUMMYFUNCTION("""COMPUTED_VALUE"""),"CROSBY")</f>
        <v>CROSBY</v>
      </c>
      <c r="D544" s="8" t="str">
        <f>IFERROR(__xludf.DUMMYFUNCTION("""COMPUTED_VALUE"""),"TX")</f>
        <v>TX</v>
      </c>
      <c r="E544" s="8" t="str">
        <f>IFERROR(__xludf.DUMMYFUNCTION("""COMPUTED_VALUE"""),"USA")</f>
        <v>USA</v>
      </c>
      <c r="F544" s="8" t="str">
        <f>IFERROR(__xludf.DUMMYFUNCTION("""COMPUTED_VALUE"""),"MEN CRICKET DBLS")</f>
        <v>MEN CRICKET DBLS</v>
      </c>
      <c r="G544" s="8" t="str">
        <f>IFERROR(__xludf.DUMMYFUNCTION("""COMPUTED_VALUE"""),"1")</f>
        <v>1</v>
      </c>
      <c r="H544" s="8" t="str">
        <f>IFERROR(__xludf.DUMMYFUNCTION("""COMPUTED_VALUE"""),"BS 37 FL")</f>
        <v>BS 37 FL</v>
      </c>
      <c r="I544" s="9">
        <f>IFERROR(__xludf.DUMMYFUNCTION("""COMPUTED_VALUE"""),45078.0)</f>
        <v>45078</v>
      </c>
      <c r="J544" s="9">
        <f>IFERROR(__xludf.DUMMYFUNCTION("""COMPUTED_VALUE"""),46174.0)</f>
        <v>46174</v>
      </c>
      <c r="K544" s="1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7" t="str">
        <f>IFERROR(__xludf.DUMMYFUNCTION("""COMPUTED_VALUE"""),"WARNOCK")</f>
        <v>WARNOCK</v>
      </c>
      <c r="B545" s="8" t="str">
        <f>IFERROR(__xludf.DUMMYFUNCTION("""COMPUTED_VALUE"""),"STEVE")</f>
        <v>STEVE</v>
      </c>
      <c r="C545" s="8"/>
      <c r="D545" s="8"/>
      <c r="E545" s="8" t="str">
        <f>IFERROR(__xludf.DUMMYFUNCTION("""COMPUTED_VALUE"""),"CANADA")</f>
        <v>CANADA</v>
      </c>
      <c r="F545" s="8" t="str">
        <f>IFERROR(__xludf.DUMMYFUNCTION("""COMPUTED_VALUE"""),"PRO 501 DBLS")</f>
        <v>PRO 501 DBLS</v>
      </c>
      <c r="G545" s="8" t="str">
        <f>IFERROR(__xludf.DUMMYFUNCTION("""COMPUTED_VALUE"""),"2")</f>
        <v>2</v>
      </c>
      <c r="H545" s="8" t="str">
        <f>IFERROR(__xludf.DUMMYFUNCTION("""COMPUTED_VALUE"""),"BS 37 NY")</f>
        <v>BS 37 NY</v>
      </c>
      <c r="I545" s="9">
        <f>IFERROR(__xludf.DUMMYFUNCTION("""COMPUTED_VALUE"""),45078.0)</f>
        <v>45078</v>
      </c>
      <c r="J545" s="9">
        <f>IFERROR(__xludf.DUMMYFUNCTION("""COMPUTED_VALUE"""),46174.0)</f>
        <v>46174</v>
      </c>
      <c r="K545" s="1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7" t="str">
        <f>IFERROR(__xludf.DUMMYFUNCTION("""COMPUTED_VALUE"""),"WATERFIELD")</f>
        <v>WATERFIELD</v>
      </c>
      <c r="B546" s="8" t="str">
        <f>IFERROR(__xludf.DUMMYFUNCTION("""COMPUTED_VALUE"""),"ROB")</f>
        <v>ROB</v>
      </c>
      <c r="C546" s="8" t="str">
        <f>IFERROR(__xludf.DUMMYFUNCTION("""COMPUTED_VALUE"""),"MT. PLEASANT")</f>
        <v>MT. PLEASANT</v>
      </c>
      <c r="D546" s="8" t="str">
        <f>IFERROR(__xludf.DUMMYFUNCTION("""COMPUTED_VALUE"""),"WI")</f>
        <v>WI</v>
      </c>
      <c r="E546" s="8" t="str">
        <f>IFERROR(__xludf.DUMMYFUNCTION("""COMPUTED_VALUE"""),"USA")</f>
        <v>USA</v>
      </c>
      <c r="F546" s="8" t="str">
        <f>IFERROR(__xludf.DUMMYFUNCTION("""COMPUTED_VALUE"""),"MEN 501 DBLS")</f>
        <v>MEN 501 DBLS</v>
      </c>
      <c r="G546" s="8" t="str">
        <f>IFERROR(__xludf.DUMMYFUNCTION("""COMPUTED_VALUE"""),"3")</f>
        <v>3</v>
      </c>
      <c r="H546" s="8" t="str">
        <f>IFERROR(__xludf.DUMMYFUNCTION("""COMPUTED_VALUE"""),"BS 37 FL")</f>
        <v>BS 37 FL</v>
      </c>
      <c r="I546" s="9">
        <f>IFERROR(__xludf.DUMMYFUNCTION("""COMPUTED_VALUE"""),45078.0)</f>
        <v>45078</v>
      </c>
      <c r="J546" s="9">
        <f>IFERROR(__xludf.DUMMYFUNCTION("""COMPUTED_VALUE"""),46174.0)</f>
        <v>46174</v>
      </c>
      <c r="K546" s="1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7" t="str">
        <f>IFERROR(__xludf.DUMMYFUNCTION("""COMPUTED_VALUE"""),"WELCOME")</f>
        <v>WELCOME</v>
      </c>
      <c r="B547" s="8" t="str">
        <f>IFERROR(__xludf.DUMMYFUNCTION("""COMPUTED_VALUE"""),"WILLIAM")</f>
        <v>WILLIAM</v>
      </c>
      <c r="C547" s="8" t="str">
        <f>IFERROR(__xludf.DUMMYFUNCTION("""COMPUTED_VALUE"""),"LACONIA")</f>
        <v>LACONIA</v>
      </c>
      <c r="D547" s="8" t="str">
        <f>IFERROR(__xludf.DUMMYFUNCTION("""COMPUTED_VALUE"""),"NH")</f>
        <v>NH</v>
      </c>
      <c r="E547" s="8" t="str">
        <f>IFERROR(__xludf.DUMMYFUNCTION("""COMPUTED_VALUE"""),"USA")</f>
        <v>USA</v>
      </c>
      <c r="F547" s="8" t="str">
        <f>IFERROR(__xludf.DUMMYFUNCTION("""COMPUTED_VALUE"""),"MENS DBLS 501")</f>
        <v>MENS DBLS 501</v>
      </c>
      <c r="G547" s="8" t="str">
        <f>IFERROR(__xludf.DUMMYFUNCTION("""COMPUTED_VALUE"""),"1ST")</f>
        <v>1ST</v>
      </c>
      <c r="H547" s="8" t="str">
        <f>IFERROR(__xludf.DUMMYFUNCTION("""COMPUTED_VALUE"""),"BS 36 REGIONAL NY")</f>
        <v>BS 36 REGIONAL NY</v>
      </c>
      <c r="I547" s="9">
        <f>IFERROR(__xludf.DUMMYFUNCTION("""COMPUTED_VALUE"""),44713.0)</f>
        <v>44713</v>
      </c>
      <c r="J547" s="9">
        <f>IFERROR(__xludf.DUMMYFUNCTION("""COMPUTED_VALUE"""),45809.0)</f>
        <v>45809</v>
      </c>
      <c r="K547" s="1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7" t="str">
        <f>IFERROR(__xludf.DUMMYFUNCTION("""COMPUTED_VALUE"""),"WEST")</f>
        <v>WEST</v>
      </c>
      <c r="B548" s="8" t="str">
        <f>IFERROR(__xludf.DUMMYFUNCTION("""COMPUTED_VALUE"""),"NICHOLAS")</f>
        <v>NICHOLAS</v>
      </c>
      <c r="C548" s="8" t="str">
        <f>IFERROR(__xludf.DUMMYFUNCTION("""COMPUTED_VALUE"""),"EAST ALTON")</f>
        <v>EAST ALTON</v>
      </c>
      <c r="D548" s="8" t="str">
        <f>IFERROR(__xludf.DUMMYFUNCTION("""COMPUTED_VALUE"""),"IL")</f>
        <v>IL</v>
      </c>
      <c r="E548" s="8" t="str">
        <f>IFERROR(__xludf.DUMMYFUNCTION("""COMPUTED_VALUE"""),"USA")</f>
        <v>USA</v>
      </c>
      <c r="F548" s="8" t="str">
        <f>IFERROR(__xludf.DUMMYFUNCTION("""COMPUTED_VALUE"""),"MEN 501 DBLS")</f>
        <v>MEN 501 DBLS</v>
      </c>
      <c r="G548" s="8" t="str">
        <f>IFERROR(__xludf.DUMMYFUNCTION("""COMPUTED_VALUE"""),"2")</f>
        <v>2</v>
      </c>
      <c r="H548" s="8" t="str">
        <f>IFERROR(__xludf.DUMMYFUNCTION("""COMPUTED_VALUE"""),"BS 37 FL")</f>
        <v>BS 37 FL</v>
      </c>
      <c r="I548" s="9">
        <f>IFERROR(__xludf.DUMMYFUNCTION("""COMPUTED_VALUE"""),45078.0)</f>
        <v>45078</v>
      </c>
      <c r="J548" s="9">
        <f>IFERROR(__xludf.DUMMYFUNCTION("""COMPUTED_VALUE"""),46174.0)</f>
        <v>46174</v>
      </c>
      <c r="K548" s="1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7" t="str">
        <f>IFERROR(__xludf.DUMMYFUNCTION("""COMPUTED_VALUE"""),"WESTELL")</f>
        <v>WESTELL</v>
      </c>
      <c r="B549" s="8" t="str">
        <f>IFERROR(__xludf.DUMMYFUNCTION("""COMPUTED_VALUE"""),"BOB")</f>
        <v>BOB</v>
      </c>
      <c r="C549" s="8" t="str">
        <f>IFERROR(__xludf.DUMMYFUNCTION("""COMPUTED_VALUE"""),"WEST MIFFLIN")</f>
        <v>WEST MIFFLIN</v>
      </c>
      <c r="D549" s="8" t="str">
        <f>IFERROR(__xludf.DUMMYFUNCTION("""COMPUTED_VALUE"""),"PA")</f>
        <v>PA</v>
      </c>
      <c r="E549" s="8" t="str">
        <f>IFERROR(__xludf.DUMMYFUNCTION("""COMPUTED_VALUE"""),"USA")</f>
        <v>USA</v>
      </c>
      <c r="F549" s="8" t="str">
        <f>IFERROR(__xludf.DUMMYFUNCTION("""COMPUTED_VALUE"""),"MENS DBLS CRICKET")</f>
        <v>MENS DBLS CRICKET</v>
      </c>
      <c r="G549" s="8" t="str">
        <f>IFERROR(__xludf.DUMMYFUNCTION("""COMPUTED_VALUE"""),"2ND")</f>
        <v>2ND</v>
      </c>
      <c r="H549" s="8" t="str">
        <f>IFERROR(__xludf.DUMMYFUNCTION("""COMPUTED_VALUE"""),"BS 36 REGIONAL PA")</f>
        <v>BS 36 REGIONAL PA</v>
      </c>
      <c r="I549" s="9">
        <f>IFERROR(__xludf.DUMMYFUNCTION("""COMPUTED_VALUE"""),44713.0)</f>
        <v>44713</v>
      </c>
      <c r="J549" s="9">
        <f>IFERROR(__xludf.DUMMYFUNCTION("""COMPUTED_VALUE"""),45809.0)</f>
        <v>45809</v>
      </c>
      <c r="K549" s="1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7" t="str">
        <f>IFERROR(__xludf.DUMMYFUNCTION("""COMPUTED_VALUE"""),"WIEDEMANN")</f>
        <v>WIEDEMANN</v>
      </c>
      <c r="B550" s="8" t="str">
        <f>IFERROR(__xludf.DUMMYFUNCTION("""COMPUTED_VALUE"""),"PRESTON")</f>
        <v>PRESTON</v>
      </c>
      <c r="C550" s="8" t="str">
        <f>IFERROR(__xludf.DUMMYFUNCTION("""COMPUTED_VALUE"""),"MUSTANG")</f>
        <v>MUSTANG</v>
      </c>
      <c r="D550" s="8" t="str">
        <f>IFERROR(__xludf.DUMMYFUNCTION("""COMPUTED_VALUE"""),"OK")</f>
        <v>OK</v>
      </c>
      <c r="E550" s="8" t="str">
        <f>IFERROR(__xludf.DUMMYFUNCTION("""COMPUTED_VALUE"""),"USA")</f>
        <v>USA</v>
      </c>
      <c r="F550" s="8" t="str">
        <f>IFERROR(__xludf.DUMMYFUNCTION("""COMPUTED_VALUE"""),"MEN SINGLES")</f>
        <v>MEN SINGLES</v>
      </c>
      <c r="G550" s="8" t="str">
        <f>IFERROR(__xludf.DUMMYFUNCTION("""COMPUTED_VALUE"""),"2")</f>
        <v>2</v>
      </c>
      <c r="H550" s="8" t="str">
        <f>IFERROR(__xludf.DUMMYFUNCTION("""COMPUTED_VALUE"""),"BS 37 NE")</f>
        <v>BS 37 NE</v>
      </c>
      <c r="I550" s="9">
        <f>IFERROR(__xludf.DUMMYFUNCTION("""COMPUTED_VALUE"""),45078.0)</f>
        <v>45078</v>
      </c>
      <c r="J550" s="9">
        <f>IFERROR(__xludf.DUMMYFUNCTION("""COMPUTED_VALUE"""),46174.0)</f>
        <v>46174</v>
      </c>
      <c r="K550" s="1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7" t="str">
        <f>IFERROR(__xludf.DUMMYFUNCTION("""COMPUTED_VALUE"""),"WILBUR")</f>
        <v>WILBUR</v>
      </c>
      <c r="B551" s="8" t="str">
        <f>IFERROR(__xludf.DUMMYFUNCTION("""COMPUTED_VALUE"""),"JASON")</f>
        <v>JASON</v>
      </c>
      <c r="C551" s="8" t="str">
        <f>IFERROR(__xludf.DUMMYFUNCTION("""COMPUTED_VALUE"""),"CALEDONIA")</f>
        <v>CALEDONIA</v>
      </c>
      <c r="D551" s="8" t="str">
        <f>IFERROR(__xludf.DUMMYFUNCTION("""COMPUTED_VALUE"""),"WI")</f>
        <v>WI</v>
      </c>
      <c r="E551" s="8" t="str">
        <f>IFERROR(__xludf.DUMMYFUNCTION("""COMPUTED_VALUE"""),"USA")</f>
        <v>USA</v>
      </c>
      <c r="F551" s="8" t="str">
        <f>IFERROR(__xludf.DUMMYFUNCTION("""COMPUTED_VALUE"""),"MENS DBLS 501")</f>
        <v>MENS DBLS 501</v>
      </c>
      <c r="G551" s="8" t="str">
        <f>IFERROR(__xludf.DUMMYFUNCTION("""COMPUTED_VALUE"""),"1ST")</f>
        <v>1ST</v>
      </c>
      <c r="H551" s="8" t="str">
        <f>IFERROR(__xludf.DUMMYFUNCTION("""COMPUTED_VALUE"""),"BS 36 REGIONAL IN")</f>
        <v>BS 36 REGIONAL IN</v>
      </c>
      <c r="I551" s="9">
        <f>IFERROR(__xludf.DUMMYFUNCTION("""COMPUTED_VALUE"""),44713.0)</f>
        <v>44713</v>
      </c>
      <c r="J551" s="9">
        <f>IFERROR(__xludf.DUMMYFUNCTION("""COMPUTED_VALUE"""),45809.0)</f>
        <v>45809</v>
      </c>
      <c r="K551" s="10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7" t="str">
        <f>IFERROR(__xludf.DUMMYFUNCTION("""COMPUTED_VALUE"""),"WILE")</f>
        <v>WILE</v>
      </c>
      <c r="B552" s="8" t="str">
        <f>IFERROR(__xludf.DUMMYFUNCTION("""COMPUTED_VALUE"""),"RYAN")</f>
        <v>RYAN</v>
      </c>
      <c r="C552" s="8" t="str">
        <f>IFERROR(__xludf.DUMMYFUNCTION("""COMPUTED_VALUE"""),"LANCASTER")</f>
        <v>LANCASTER</v>
      </c>
      <c r="D552" s="8" t="str">
        <f>IFERROR(__xludf.DUMMYFUNCTION("""COMPUTED_VALUE"""),"PA")</f>
        <v>PA</v>
      </c>
      <c r="E552" s="8" t="str">
        <f>IFERROR(__xludf.DUMMYFUNCTION("""COMPUTED_VALUE"""),"USA")</f>
        <v>USA</v>
      </c>
      <c r="F552" s="8" t="str">
        <f>IFERROR(__xludf.DUMMYFUNCTION("""COMPUTED_VALUE"""),"PRO 501 DBLS")</f>
        <v>PRO 501 DBLS</v>
      </c>
      <c r="G552" s="8" t="str">
        <f>IFERROR(__xludf.DUMMYFUNCTION("""COMPUTED_VALUE"""),"3")</f>
        <v>3</v>
      </c>
      <c r="H552" s="8" t="str">
        <f>IFERROR(__xludf.DUMMYFUNCTION("""COMPUTED_VALUE"""),"BS 37 NY")</f>
        <v>BS 37 NY</v>
      </c>
      <c r="I552" s="9">
        <f>IFERROR(__xludf.DUMMYFUNCTION("""COMPUTED_VALUE"""),45078.0)</f>
        <v>45078</v>
      </c>
      <c r="J552" s="9">
        <f>IFERROR(__xludf.DUMMYFUNCTION("""COMPUTED_VALUE"""),46174.0)</f>
        <v>46174</v>
      </c>
      <c r="K552" s="10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7" t="str">
        <f>IFERROR(__xludf.DUMMYFUNCTION("""COMPUTED_VALUE"""),"WILLIAMS")</f>
        <v>WILLIAMS</v>
      </c>
      <c r="B553" s="8" t="str">
        <f>IFERROR(__xludf.DUMMYFUNCTION("""COMPUTED_VALUE"""),"MIKE")</f>
        <v>MIKE</v>
      </c>
      <c r="C553" s="8" t="str">
        <f>IFERROR(__xludf.DUMMYFUNCTION("""COMPUTED_VALUE"""),"TACOMA")</f>
        <v>TACOMA</v>
      </c>
      <c r="D553" s="8" t="str">
        <f>IFERROR(__xludf.DUMMYFUNCTION("""COMPUTED_VALUE"""),"WA")</f>
        <v>WA</v>
      </c>
      <c r="E553" s="8" t="str">
        <f>IFERROR(__xludf.DUMMYFUNCTION("""COMPUTED_VALUE"""),"USA")</f>
        <v>USA</v>
      </c>
      <c r="F553" s="8" t="str">
        <f>IFERROR(__xludf.DUMMYFUNCTION("""COMPUTED_VALUE"""),"MIXED TRIPLES 701")</f>
        <v>MIXED TRIPLES 701</v>
      </c>
      <c r="G553" s="8" t="str">
        <f>IFERROR(__xludf.DUMMYFUNCTION("""COMPUTED_VALUE"""),"1ST")</f>
        <v>1ST</v>
      </c>
      <c r="H553" s="8" t="str">
        <f>IFERROR(__xludf.DUMMYFUNCTION("""COMPUTED_VALUE"""),"WA REGIONAL BS 38")</f>
        <v>WA REGIONAL BS 38</v>
      </c>
      <c r="I553" s="9">
        <f>IFERROR(__xludf.DUMMYFUNCTION("""COMPUTED_VALUE"""),45444.0)</f>
        <v>45444</v>
      </c>
      <c r="J553" s="9">
        <f>IFERROR(__xludf.DUMMYFUNCTION("""COMPUTED_VALUE"""),46539.0)</f>
        <v>46539</v>
      </c>
      <c r="K553" s="10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7" t="str">
        <f>IFERROR(__xludf.DUMMYFUNCTION("""COMPUTED_VALUE"""),"WILLIAMS")</f>
        <v>WILLIAMS</v>
      </c>
      <c r="B554" s="8" t="str">
        <f>IFERROR(__xludf.DUMMYFUNCTION("""COMPUTED_VALUE"""),"DOUGLASS")</f>
        <v>DOUGLASS</v>
      </c>
      <c r="C554" s="8" t="str">
        <f>IFERROR(__xludf.DUMMYFUNCTION("""COMPUTED_VALUE"""),"PITTSBURGH")</f>
        <v>PITTSBURGH</v>
      </c>
      <c r="D554" s="8" t="str">
        <f>IFERROR(__xludf.DUMMYFUNCTION("""COMPUTED_VALUE"""),"PA")</f>
        <v>PA</v>
      </c>
      <c r="E554" s="8" t="str">
        <f>IFERROR(__xludf.DUMMYFUNCTION("""COMPUTED_VALUE"""),"USA")</f>
        <v>USA</v>
      </c>
      <c r="F554" s="8" t="str">
        <f>IFERROR(__xludf.DUMMYFUNCTION("""COMPUTED_VALUE"""),"PRO 501 DBLS")</f>
        <v>PRO 501 DBLS</v>
      </c>
      <c r="G554" s="8" t="str">
        <f>IFERROR(__xludf.DUMMYFUNCTION("""COMPUTED_VALUE"""),"3")</f>
        <v>3</v>
      </c>
      <c r="H554" s="8" t="str">
        <f>IFERROR(__xludf.DUMMYFUNCTION("""COMPUTED_VALUE"""),"BS 37 SC")</f>
        <v>BS 37 SC</v>
      </c>
      <c r="I554" s="9">
        <f>IFERROR(__xludf.DUMMYFUNCTION("""COMPUTED_VALUE"""),45078.0)</f>
        <v>45078</v>
      </c>
      <c r="J554" s="9">
        <f>IFERROR(__xludf.DUMMYFUNCTION("""COMPUTED_VALUE"""),46174.0)</f>
        <v>46174</v>
      </c>
      <c r="K554" s="10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7" t="str">
        <f>IFERROR(__xludf.DUMMYFUNCTION("""COMPUTED_VALUE"""),"WILMER")</f>
        <v>WILMER</v>
      </c>
      <c r="B555" s="8" t="str">
        <f>IFERROR(__xludf.DUMMYFUNCTION("""COMPUTED_VALUE"""),"JOSEPH")</f>
        <v>JOSEPH</v>
      </c>
      <c r="C555" s="8" t="str">
        <f>IFERROR(__xludf.DUMMYFUNCTION("""COMPUTED_VALUE"""),"FLORENCE")</f>
        <v>FLORENCE</v>
      </c>
      <c r="D555" s="8" t="str">
        <f>IFERROR(__xludf.DUMMYFUNCTION("""COMPUTED_VALUE"""),"SC")</f>
        <v>SC</v>
      </c>
      <c r="E555" s="8" t="str">
        <f>IFERROR(__xludf.DUMMYFUNCTION("""COMPUTED_VALUE"""),"USA")</f>
        <v>USA</v>
      </c>
      <c r="F555" s="8" t="str">
        <f>IFERROR(__xludf.DUMMYFUNCTION("""COMPUTED_VALUE"""),"MENS DBLS 501")</f>
        <v>MENS DBLS 501</v>
      </c>
      <c r="G555" s="8" t="str">
        <f>IFERROR(__xludf.DUMMYFUNCTION("""COMPUTED_VALUE"""),"2ND")</f>
        <v>2ND</v>
      </c>
      <c r="H555" s="8" t="str">
        <f>IFERROR(__xludf.DUMMYFUNCTION("""COMPUTED_VALUE"""),"BS 36 REGIONAL SC")</f>
        <v>BS 36 REGIONAL SC</v>
      </c>
      <c r="I555" s="9">
        <f>IFERROR(__xludf.DUMMYFUNCTION("""COMPUTED_VALUE"""),44713.0)</f>
        <v>44713</v>
      </c>
      <c r="J555" s="9">
        <f>IFERROR(__xludf.DUMMYFUNCTION("""COMPUTED_VALUE"""),45809.0)</f>
        <v>45809</v>
      </c>
      <c r="K555" s="10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7" t="str">
        <f>IFERROR(__xludf.DUMMYFUNCTION("""COMPUTED_VALUE"""),"WINBORN")</f>
        <v>WINBORN</v>
      </c>
      <c r="B556" s="8" t="str">
        <f>IFERROR(__xludf.DUMMYFUNCTION("""COMPUTED_VALUE"""),"SHERRON")</f>
        <v>SHERRON</v>
      </c>
      <c r="C556" s="8" t="str">
        <f>IFERROR(__xludf.DUMMYFUNCTION("""COMPUTED_VALUE"""),"NEW ALBANY")</f>
        <v>NEW ALBANY</v>
      </c>
      <c r="D556" s="8" t="str">
        <f>IFERROR(__xludf.DUMMYFUNCTION("""COMPUTED_VALUE"""),"NIN")</f>
        <v>NIN</v>
      </c>
      <c r="E556" s="8" t="str">
        <f>IFERROR(__xludf.DUMMYFUNCTION("""COMPUTED_VALUE"""),"USA")</f>
        <v>USA</v>
      </c>
      <c r="F556" s="8" t="str">
        <f>IFERROR(__xludf.DUMMYFUNCTION("""COMPUTED_VALUE"""),"MEN SINGLES")</f>
        <v>MEN SINGLES</v>
      </c>
      <c r="G556" s="8" t="str">
        <f>IFERROR(__xludf.DUMMYFUNCTION("""COMPUTED_VALUE"""),"2")</f>
        <v>2</v>
      </c>
      <c r="H556" s="8" t="str">
        <f>IFERROR(__xludf.DUMMYFUNCTION("""COMPUTED_VALUE"""),"BS 37 OH")</f>
        <v>BS 37 OH</v>
      </c>
      <c r="I556" s="9">
        <f>IFERROR(__xludf.DUMMYFUNCTION("""COMPUTED_VALUE"""),45078.0)</f>
        <v>45078</v>
      </c>
      <c r="J556" s="9">
        <f>IFERROR(__xludf.DUMMYFUNCTION("""COMPUTED_VALUE"""),46174.0)</f>
        <v>46174</v>
      </c>
      <c r="K556" s="10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7" t="str">
        <f>IFERROR(__xludf.DUMMYFUNCTION("""COMPUTED_VALUE"""),"WISMETH")</f>
        <v>WISMETH</v>
      </c>
      <c r="B557" s="8" t="str">
        <f>IFERROR(__xludf.DUMMYFUNCTION("""COMPUTED_VALUE"""),"ROBERT")</f>
        <v>ROBERT</v>
      </c>
      <c r="C557" s="8" t="str">
        <f>IFERROR(__xludf.DUMMYFUNCTION("""COMPUTED_VALUE"""),"MILWAUKEE")</f>
        <v>MILWAUKEE</v>
      </c>
      <c r="D557" s="8" t="str">
        <f>IFERROR(__xludf.DUMMYFUNCTION("""COMPUTED_VALUE"""),"WI")</f>
        <v>WI</v>
      </c>
      <c r="E557" s="8" t="str">
        <f>IFERROR(__xludf.DUMMYFUNCTION("""COMPUTED_VALUE"""),"USA")</f>
        <v>USA</v>
      </c>
      <c r="F557" s="8" t="str">
        <f>IFERROR(__xludf.DUMMYFUNCTION("""COMPUTED_VALUE"""),"MIXED TRIPLE 701")</f>
        <v>MIXED TRIPLE 701</v>
      </c>
      <c r="G557" s="8" t="str">
        <f>IFERROR(__xludf.DUMMYFUNCTION("""COMPUTED_VALUE"""),"3RD")</f>
        <v>3RD</v>
      </c>
      <c r="H557" s="8" t="str">
        <f>IFERROR(__xludf.DUMMYFUNCTION("""COMPUTED_VALUE"""),"BULLSHOOTER 36 FINALS")</f>
        <v>BULLSHOOTER 36 FINALS</v>
      </c>
      <c r="I557" s="9">
        <f>IFERROR(__xludf.DUMMYFUNCTION("""COMPUTED_VALUE"""),44713.0)</f>
        <v>44713</v>
      </c>
      <c r="J557" s="9">
        <f>IFERROR(__xludf.DUMMYFUNCTION("""COMPUTED_VALUE"""),45809.0)</f>
        <v>45809</v>
      </c>
      <c r="K557" s="10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7" t="str">
        <f>IFERROR(__xludf.DUMMYFUNCTION("""COMPUTED_VALUE"""),"WOOLFORT")</f>
        <v>WOOLFORT</v>
      </c>
      <c r="B558" s="8" t="str">
        <f>IFERROR(__xludf.DUMMYFUNCTION("""COMPUTED_VALUE"""),"NIKOLAUS")</f>
        <v>NIKOLAUS</v>
      </c>
      <c r="C558" s="8" t="str">
        <f>IFERROR(__xludf.DUMMYFUNCTION("""COMPUTED_VALUE"""),"MYRTLE BEACH")</f>
        <v>MYRTLE BEACH</v>
      </c>
      <c r="D558" s="8" t="str">
        <f>IFERROR(__xludf.DUMMYFUNCTION("""COMPUTED_VALUE"""),"SC")</f>
        <v>SC</v>
      </c>
      <c r="E558" s="8" t="str">
        <f>IFERROR(__xludf.DUMMYFUNCTION("""COMPUTED_VALUE"""),"USA")</f>
        <v>USA</v>
      </c>
      <c r="F558" s="8" t="str">
        <f>IFERROR(__xludf.DUMMYFUNCTION("""COMPUTED_VALUE"""),"MEN CRICKET DBLS")</f>
        <v>MEN CRICKET DBLS</v>
      </c>
      <c r="G558" s="8" t="str">
        <f>IFERROR(__xludf.DUMMYFUNCTION("""COMPUTED_VALUE"""),"2")</f>
        <v>2</v>
      </c>
      <c r="H558" s="8" t="str">
        <f>IFERROR(__xludf.DUMMYFUNCTION("""COMPUTED_VALUE"""),"BS 37 SC")</f>
        <v>BS 37 SC</v>
      </c>
      <c r="I558" s="9">
        <f>IFERROR(__xludf.DUMMYFUNCTION("""COMPUTED_VALUE"""),45078.0)</f>
        <v>45078</v>
      </c>
      <c r="J558" s="9">
        <f>IFERROR(__xludf.DUMMYFUNCTION("""COMPUTED_VALUE"""),46174.0)</f>
        <v>46174</v>
      </c>
      <c r="K558" s="10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7" t="str">
        <f>IFERROR(__xludf.DUMMYFUNCTION("""COMPUTED_VALUE"""),"Wootten")</f>
        <v>Wootten</v>
      </c>
      <c r="B559" s="8" t="str">
        <f>IFERROR(__xludf.DUMMYFUNCTION("""COMPUTED_VALUE"""),"Clifford")</f>
        <v>Clifford</v>
      </c>
      <c r="C559" s="8" t="str">
        <f>IFERROR(__xludf.DUMMYFUNCTION("""COMPUTED_VALUE"""),"Orlando")</f>
        <v>Orlando</v>
      </c>
      <c r="D559" s="8" t="str">
        <f>IFERROR(__xludf.DUMMYFUNCTION("""COMPUTED_VALUE"""),"FL")</f>
        <v>FL</v>
      </c>
      <c r="E559" s="8" t="str">
        <f>IFERROR(__xludf.DUMMYFUNCTION("""COMPUTED_VALUE"""),"USA")</f>
        <v>USA</v>
      </c>
      <c r="F559" s="8" t="str">
        <f>IFERROR(__xludf.DUMMYFUNCTION("""COMPUTED_VALUE"""),"Known Pro")</f>
        <v>Known Pro</v>
      </c>
      <c r="G559" s="8"/>
      <c r="H559" s="8" t="str">
        <f>IFERROR(__xludf.DUMMYFUNCTION("""COMPUTED_VALUE"""),"Known Ability")</f>
        <v>Known Ability</v>
      </c>
      <c r="I559" s="9">
        <f>IFERROR(__xludf.DUMMYFUNCTION("""COMPUTED_VALUE"""),36892.0)</f>
        <v>36892</v>
      </c>
      <c r="J559" s="9">
        <f>IFERROR(__xludf.DUMMYFUNCTION("""COMPUTED_VALUE"""),47635.0)</f>
        <v>47635</v>
      </c>
      <c r="K559" s="10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7" t="str">
        <f>IFERROR(__xludf.DUMMYFUNCTION("""COMPUTED_VALUE"""),"WRIGHT")</f>
        <v>WRIGHT</v>
      </c>
      <c r="B560" s="8" t="str">
        <f>IFERROR(__xludf.DUMMYFUNCTION("""COMPUTED_VALUE"""),"FRED")</f>
        <v>FRED</v>
      </c>
      <c r="C560" s="8" t="str">
        <f>IFERROR(__xludf.DUMMYFUNCTION("""COMPUTED_VALUE"""),"CLEVELAND")</f>
        <v>CLEVELAND</v>
      </c>
      <c r="D560" s="8" t="str">
        <f>IFERROR(__xludf.DUMMYFUNCTION("""COMPUTED_VALUE"""),"TX")</f>
        <v>TX</v>
      </c>
      <c r="E560" s="8" t="str">
        <f>IFERROR(__xludf.DUMMYFUNCTION("""COMPUTED_VALUE"""),"USA")</f>
        <v>USA</v>
      </c>
      <c r="F560" s="8" t="str">
        <f>IFERROR(__xludf.DUMMYFUNCTION("""COMPUTED_VALUE"""),"MEN 501 DBLS")</f>
        <v>MEN 501 DBLS</v>
      </c>
      <c r="G560" s="8" t="str">
        <f>IFERROR(__xludf.DUMMYFUNCTION("""COMPUTED_VALUE"""),"1")</f>
        <v>1</v>
      </c>
      <c r="H560" s="8" t="str">
        <f>IFERROR(__xludf.DUMMYFUNCTION("""COMPUTED_VALUE"""),"BS 37 TX")</f>
        <v>BS 37 TX</v>
      </c>
      <c r="I560" s="9">
        <f>IFERROR(__xludf.DUMMYFUNCTION("""COMPUTED_VALUE"""),45078.0)</f>
        <v>45078</v>
      </c>
      <c r="J560" s="9">
        <f>IFERROR(__xludf.DUMMYFUNCTION("""COMPUTED_VALUE"""),46174.0)</f>
        <v>46174</v>
      </c>
      <c r="K560" s="10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7" t="str">
        <f>IFERROR(__xludf.DUMMYFUNCTION("""COMPUTED_VALUE"""),"Yaksitch")</f>
        <v>Yaksitch</v>
      </c>
      <c r="B561" s="8" t="str">
        <f>IFERROR(__xludf.DUMMYFUNCTION("""COMPUTED_VALUE"""),"Michael")</f>
        <v>Michael</v>
      </c>
      <c r="C561" s="8"/>
      <c r="D561" s="8"/>
      <c r="E561" s="8" t="str">
        <f>IFERROR(__xludf.DUMMYFUNCTION("""COMPUTED_VALUE"""),"USA")</f>
        <v>USA</v>
      </c>
      <c r="F561" s="8"/>
      <c r="G561" s="8"/>
      <c r="H561" s="8" t="str">
        <f>IFERROR(__xludf.DUMMYFUNCTION("""COMPUTED_VALUE"""),"ADO Top 25 2020")</f>
        <v>ADO Top 25 2020</v>
      </c>
      <c r="I561" s="9">
        <f>IFERROR(__xludf.DUMMYFUNCTION("""COMPUTED_VALUE"""),44348.0)</f>
        <v>44348</v>
      </c>
      <c r="J561" s="9">
        <f>IFERROR(__xludf.DUMMYFUNCTION("""COMPUTED_VALUE"""),46539.0)</f>
        <v>46539</v>
      </c>
      <c r="K561" s="10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7" t="str">
        <f>IFERROR(__xludf.DUMMYFUNCTION("""COMPUTED_VALUE"""),"Yancey")</f>
        <v>Yancey</v>
      </c>
      <c r="B562" s="8" t="str">
        <f>IFERROR(__xludf.DUMMYFUNCTION("""COMPUTED_VALUE"""),"John")</f>
        <v>John</v>
      </c>
      <c r="C562" s="8"/>
      <c r="D562" s="8"/>
      <c r="E562" s="8"/>
      <c r="F562" s="8" t="str">
        <f>IFERROR(__xludf.DUMMYFUNCTION("""COMPUTED_VALUE"""),"Mixed Dbls Cricket")</f>
        <v>Mixed Dbls Cricket</v>
      </c>
      <c r="G562" s="8" t="str">
        <f>IFERROR(__xludf.DUMMYFUNCTION("""COMPUTED_VALUE"""),"2nd")</f>
        <v>2nd</v>
      </c>
      <c r="H562" s="8" t="str">
        <f>IFERROR(__xludf.DUMMYFUNCTION("""COMPUTED_VALUE"""),"BS 38 Finals")</f>
        <v>BS 38 Finals</v>
      </c>
      <c r="I562" s="9">
        <f>IFERROR(__xludf.DUMMYFUNCTION("""COMPUTED_VALUE"""),45444.0)</f>
        <v>45444</v>
      </c>
      <c r="J562" s="9">
        <f>IFERROR(__xludf.DUMMYFUNCTION("""COMPUTED_VALUE"""),46539.0)</f>
        <v>46539</v>
      </c>
      <c r="K562" s="10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7" t="str">
        <f>IFERROR(__xludf.DUMMYFUNCTION("""COMPUTED_VALUE"""),"Yasenchak")</f>
        <v>Yasenchak</v>
      </c>
      <c r="B563" s="8" t="str">
        <f>IFERROR(__xludf.DUMMYFUNCTION("""COMPUTED_VALUE"""),"Kevin")</f>
        <v>Kevin</v>
      </c>
      <c r="C563" s="8" t="str">
        <f>IFERROR(__xludf.DUMMYFUNCTION("""COMPUTED_VALUE"""),"Cleveland")</f>
        <v>Cleveland</v>
      </c>
      <c r="D563" s="8" t="str">
        <f>IFERROR(__xludf.DUMMYFUNCTION("""COMPUTED_VALUE"""),"OH")</f>
        <v>OH</v>
      </c>
      <c r="E563" s="8" t="str">
        <f>IFERROR(__xludf.DUMMYFUNCTION("""COMPUTED_VALUE"""),"USA")</f>
        <v>USA</v>
      </c>
      <c r="F563" s="8"/>
      <c r="G563" s="8"/>
      <c r="H563" s="8" t="str">
        <f>IFERROR(__xludf.DUMMYFUNCTION("""COMPUTED_VALUE"""),"ADO Top 20 202")</f>
        <v>ADO Top 20 202</v>
      </c>
      <c r="I563" s="9">
        <f>IFERROR(__xludf.DUMMYFUNCTION("""COMPUTED_VALUE"""),44348.0)</f>
        <v>44348</v>
      </c>
      <c r="J563" s="9">
        <f>IFERROR(__xludf.DUMMYFUNCTION("""COMPUTED_VALUE"""),46539.0)</f>
        <v>46539</v>
      </c>
      <c r="K563" s="10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7" t="str">
        <f>IFERROR(__xludf.DUMMYFUNCTION("""COMPUTED_VALUE"""),"Young")</f>
        <v>Young</v>
      </c>
      <c r="B564" s="8" t="str">
        <f>IFERROR(__xludf.DUMMYFUNCTION("""COMPUTED_VALUE"""),"Darin")</f>
        <v>Darin</v>
      </c>
      <c r="C564" s="8" t="str">
        <f>IFERROR(__xludf.DUMMYFUNCTION("""COMPUTED_VALUE"""),"Freeland")</f>
        <v>Freeland</v>
      </c>
      <c r="D564" s="8" t="str">
        <f>IFERROR(__xludf.DUMMYFUNCTION("""COMPUTED_VALUE"""),"PA")</f>
        <v>PA</v>
      </c>
      <c r="E564" s="8" t="str">
        <f>IFERROR(__xludf.DUMMYFUNCTION("""COMPUTED_VALUE"""),"USA")</f>
        <v>USA</v>
      </c>
      <c r="F564" s="8" t="str">
        <f>IFERROR(__xludf.DUMMYFUNCTION("""COMPUTED_VALUE"""),"ADO Top 20 2021")</f>
        <v>ADO Top 20 2021</v>
      </c>
      <c r="G564" s="8"/>
      <c r="H564" s="8" t="str">
        <f>IFERROR(__xludf.DUMMYFUNCTION("""COMPUTED_VALUE"""),"Known Ability")</f>
        <v>Known Ability</v>
      </c>
      <c r="I564" s="9">
        <f>IFERROR(__xludf.DUMMYFUNCTION("""COMPUTED_VALUE"""),44348.0)</f>
        <v>44348</v>
      </c>
      <c r="J564" s="9">
        <f>IFERROR(__xludf.DUMMYFUNCTION("""COMPUTED_VALUE"""),47635.0)</f>
        <v>47635</v>
      </c>
      <c r="K564" s="10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7" t="str">
        <f>IFERROR(__xludf.DUMMYFUNCTION("""COMPUTED_VALUE"""),"YOUNG")</f>
        <v>YOUNG</v>
      </c>
      <c r="B565" s="8" t="str">
        <f>IFERROR(__xludf.DUMMYFUNCTION("""COMPUTED_VALUE"""),"JAMES")</f>
        <v>JAMES</v>
      </c>
      <c r="C565" s="8" t="str">
        <f>IFERROR(__xludf.DUMMYFUNCTION("""COMPUTED_VALUE"""),"AUBURNDALE")</f>
        <v>AUBURNDALE</v>
      </c>
      <c r="D565" s="8" t="str">
        <f>IFERROR(__xludf.DUMMYFUNCTION("""COMPUTED_VALUE"""),"FL")</f>
        <v>FL</v>
      </c>
      <c r="E565" s="8" t="str">
        <f>IFERROR(__xludf.DUMMYFUNCTION("""COMPUTED_VALUE"""),"USA")</f>
        <v>USA</v>
      </c>
      <c r="F565" s="8" t="str">
        <f>IFERROR(__xludf.DUMMYFUNCTION("""COMPUTED_VALUE"""),"MENS DBLS CRICKET")</f>
        <v>MENS DBLS CRICKET</v>
      </c>
      <c r="G565" s="8" t="str">
        <f>IFERROR(__xludf.DUMMYFUNCTION("""COMPUTED_VALUE"""),"1ST")</f>
        <v>1ST</v>
      </c>
      <c r="H565" s="8" t="str">
        <f>IFERROR(__xludf.DUMMYFUNCTION("""COMPUTED_VALUE"""),"BS 36 REGIONAL FL")</f>
        <v>BS 36 REGIONAL FL</v>
      </c>
      <c r="I565" s="9">
        <f>IFERROR(__xludf.DUMMYFUNCTION("""COMPUTED_VALUE"""),44713.0)</f>
        <v>44713</v>
      </c>
      <c r="J565" s="9">
        <f>IFERROR(__xludf.DUMMYFUNCTION("""COMPUTED_VALUE"""),45809.0)</f>
        <v>45809</v>
      </c>
      <c r="K565" s="10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7" t="str">
        <f>IFERROR(__xludf.DUMMYFUNCTION("""COMPUTED_VALUE"""),"YPUNGS")</f>
        <v>YPUNGS</v>
      </c>
      <c r="B566" s="8" t="str">
        <f>IFERROR(__xludf.DUMMYFUNCTION("""COMPUTED_VALUE"""),"KEVIN")</f>
        <v>KEVIN</v>
      </c>
      <c r="C566" s="8" t="str">
        <f>IFERROR(__xludf.DUMMYFUNCTION("""COMPUTED_VALUE"""),"GREELEY")</f>
        <v>GREELEY</v>
      </c>
      <c r="D566" s="8" t="str">
        <f>IFERROR(__xludf.DUMMYFUNCTION("""COMPUTED_VALUE"""),"CO")</f>
        <v>CO</v>
      </c>
      <c r="E566" s="8" t="str">
        <f>IFERROR(__xludf.DUMMYFUNCTION("""COMPUTED_VALUE"""),"USA")</f>
        <v>USA</v>
      </c>
      <c r="F566" s="8" t="str">
        <f>IFERROR(__xludf.DUMMYFUNCTION("""COMPUTED_VALUE"""),"MEN DBLS 501")</f>
        <v>MEN DBLS 501</v>
      </c>
      <c r="G566" s="8" t="str">
        <f>IFERROR(__xludf.DUMMYFUNCTION("""COMPUTED_VALUE"""),"2ND")</f>
        <v>2ND</v>
      </c>
      <c r="H566" s="8" t="str">
        <f>IFERROR(__xludf.DUMMYFUNCTION("""COMPUTED_VALUE"""),"NE REGIONAL BS 38")</f>
        <v>NE REGIONAL BS 38</v>
      </c>
      <c r="I566" s="9">
        <f>IFERROR(__xludf.DUMMYFUNCTION("""COMPUTED_VALUE"""),45444.0)</f>
        <v>45444</v>
      </c>
      <c r="J566" s="9">
        <f>IFERROR(__xludf.DUMMYFUNCTION("""COMPUTED_VALUE"""),46539.0)</f>
        <v>46539</v>
      </c>
      <c r="K566" s="10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7" t="str">
        <f>IFERROR(__xludf.DUMMYFUNCTION("""COMPUTED_VALUE"""),"ZHUKAS")</f>
        <v>ZHUKAS</v>
      </c>
      <c r="B567" s="8" t="str">
        <f>IFERROR(__xludf.DUMMYFUNCTION("""COMPUTED_VALUE"""),"ZACH")</f>
        <v>ZACH</v>
      </c>
      <c r="C567" s="8" t="str">
        <f>IFERROR(__xludf.DUMMYFUNCTION("""COMPUTED_VALUE"""),"MT PLEASANT")</f>
        <v>MT PLEASANT</v>
      </c>
      <c r="D567" s="8" t="str">
        <f>IFERROR(__xludf.DUMMYFUNCTION("""COMPUTED_VALUE"""),"WI")</f>
        <v>WI</v>
      </c>
      <c r="E567" s="8" t="str">
        <f>IFERROR(__xludf.DUMMYFUNCTION("""COMPUTED_VALUE"""),"USA")</f>
        <v>USA</v>
      </c>
      <c r="F567" s="8" t="str">
        <f>IFERROR(__xludf.DUMMYFUNCTION("""COMPUTED_VALUE"""),"MEN 501 DBLS")</f>
        <v>MEN 501 DBLS</v>
      </c>
      <c r="G567" s="8" t="str">
        <f>IFERROR(__xludf.DUMMYFUNCTION("""COMPUTED_VALUE"""),"3")</f>
        <v>3</v>
      </c>
      <c r="H567" s="8" t="str">
        <f>IFERROR(__xludf.DUMMYFUNCTION("""COMPUTED_VALUE"""),"BS 37 NY")</f>
        <v>BS 37 NY</v>
      </c>
      <c r="I567" s="9">
        <f>IFERROR(__xludf.DUMMYFUNCTION("""COMPUTED_VALUE"""),45078.0)</f>
        <v>45078</v>
      </c>
      <c r="J567" s="9">
        <f>IFERROR(__xludf.DUMMYFUNCTION("""COMPUTED_VALUE"""),46174.0)</f>
        <v>46174</v>
      </c>
      <c r="K567" s="10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7" t="str">
        <f>IFERROR(__xludf.DUMMYFUNCTION("""COMPUTED_VALUE"""),"Ziemanski")</f>
        <v>Ziemanski</v>
      </c>
      <c r="B568" s="8" t="str">
        <f>IFERROR(__xludf.DUMMYFUNCTION("""COMPUTED_VALUE"""),"Jordan")</f>
        <v>Jordan</v>
      </c>
      <c r="C568" s="8"/>
      <c r="D568" s="8"/>
      <c r="E568" s="8"/>
      <c r="F568" s="8" t="str">
        <f>IFERROR(__xludf.DUMMYFUNCTION("""COMPUTED_VALUE"""),"TopGun Mixed")</f>
        <v>TopGun Mixed</v>
      </c>
      <c r="G568" s="8" t="str">
        <f>IFERROR(__xludf.DUMMYFUNCTION("""COMPUTED_VALUE"""),"1st")</f>
        <v>1st</v>
      </c>
      <c r="H568" s="8" t="str">
        <f>IFERROR(__xludf.DUMMYFUNCTION("""COMPUTED_VALUE"""),"BS 38 Finals")</f>
        <v>BS 38 Finals</v>
      </c>
      <c r="I568" s="9">
        <f>IFERROR(__xludf.DUMMYFUNCTION("""COMPUTED_VALUE"""),45444.0)</f>
        <v>45444</v>
      </c>
      <c r="J568" s="9">
        <f>IFERROR(__xludf.DUMMYFUNCTION("""COMPUTED_VALUE"""),46539.0)</f>
        <v>46539</v>
      </c>
      <c r="K568" s="10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7" t="str">
        <f>IFERROR(__xludf.DUMMYFUNCTION("""COMPUTED_VALUE"""),"ZIMMERMAN")</f>
        <v>ZIMMERMAN</v>
      </c>
      <c r="B569" s="8" t="str">
        <f>IFERROR(__xludf.DUMMYFUNCTION("""COMPUTED_VALUE"""),"AARON")</f>
        <v>AARON</v>
      </c>
      <c r="C569" s="8" t="str">
        <f>IFERROR(__xludf.DUMMYFUNCTION("""COMPUTED_VALUE"""),"CRESTVIEW")</f>
        <v>CRESTVIEW</v>
      </c>
      <c r="D569" s="8" t="str">
        <f>IFERROR(__xludf.DUMMYFUNCTION("""COMPUTED_VALUE"""),"FL")</f>
        <v>FL</v>
      </c>
      <c r="E569" s="8" t="str">
        <f>IFERROR(__xludf.DUMMYFUNCTION("""COMPUTED_VALUE"""),"USA")</f>
        <v>USA</v>
      </c>
      <c r="F569" s="8" t="str">
        <f>IFERROR(__xludf.DUMMYFUNCTION("""COMPUTED_VALUE"""),"MEN 501 DBLS")</f>
        <v>MEN 501 DBLS</v>
      </c>
      <c r="G569" s="8" t="str">
        <f>IFERROR(__xludf.DUMMYFUNCTION("""COMPUTED_VALUE"""),"1")</f>
        <v>1</v>
      </c>
      <c r="H569" s="8" t="str">
        <f>IFERROR(__xludf.DUMMYFUNCTION("""COMPUTED_VALUE"""),"BS 37 FL")</f>
        <v>BS 37 FL</v>
      </c>
      <c r="I569" s="9">
        <f>IFERROR(__xludf.DUMMYFUNCTION("""COMPUTED_VALUE"""),45078.0)</f>
        <v>45078</v>
      </c>
      <c r="J569" s="9">
        <f>IFERROR(__xludf.DUMMYFUNCTION("""COMPUTED_VALUE"""),46174.0)</f>
        <v>46174</v>
      </c>
      <c r="K569" s="10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7" t="str">
        <f>IFERROR(__xludf.DUMMYFUNCTION("""COMPUTED_VALUE"""),"ZIMMERMAN")</f>
        <v>ZIMMERMAN</v>
      </c>
      <c r="B570" s="8" t="str">
        <f>IFERROR(__xludf.DUMMYFUNCTION("""COMPUTED_VALUE"""),"ZACH")</f>
        <v>ZACH</v>
      </c>
      <c r="C570" s="8" t="str">
        <f>IFERROR(__xludf.DUMMYFUNCTION("""COMPUTED_VALUE"""),"MESA")</f>
        <v>MESA</v>
      </c>
      <c r="D570" s="8" t="str">
        <f>IFERROR(__xludf.DUMMYFUNCTION("""COMPUTED_VALUE"""),"AZ")</f>
        <v>AZ</v>
      </c>
      <c r="E570" s="8" t="str">
        <f>IFERROR(__xludf.DUMMYFUNCTION("""COMPUTED_VALUE"""),"USA")</f>
        <v>USA</v>
      </c>
      <c r="F570" s="8" t="str">
        <f>IFERROR(__xludf.DUMMYFUNCTION("""COMPUTED_VALUE"""),"MENS SINGLES CRICKET")</f>
        <v>MENS SINGLES CRICKET</v>
      </c>
      <c r="G570" s="8" t="str">
        <f>IFERROR(__xludf.DUMMYFUNCTION("""COMPUTED_VALUE"""),"1ST")</f>
        <v>1ST</v>
      </c>
      <c r="H570" s="8" t="str">
        <f>IFERROR(__xludf.DUMMYFUNCTION("""COMPUTED_VALUE"""),"BS 36 REGIONAL AZ")</f>
        <v>BS 36 REGIONAL AZ</v>
      </c>
      <c r="I570" s="9">
        <f>IFERROR(__xludf.DUMMYFUNCTION("""COMPUTED_VALUE"""),44713.0)</f>
        <v>44713</v>
      </c>
      <c r="J570" s="9">
        <f>IFERROR(__xludf.DUMMYFUNCTION("""COMPUTED_VALUE"""),45809.0)</f>
        <v>45809</v>
      </c>
      <c r="K570" s="10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7"/>
      <c r="B571" s="8"/>
      <c r="C571" s="8"/>
      <c r="D571" s="8"/>
      <c r="E571" s="8"/>
      <c r="F571" s="8"/>
      <c r="G571" s="8"/>
      <c r="H571" s="8"/>
      <c r="I571" s="9"/>
      <c r="J571" s="9"/>
      <c r="K571" s="10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7"/>
      <c r="B572" s="8"/>
      <c r="C572" s="8"/>
      <c r="D572" s="8"/>
      <c r="E572" s="8"/>
      <c r="F572" s="8"/>
      <c r="G572" s="8"/>
      <c r="H572" s="8"/>
      <c r="I572" s="9"/>
      <c r="J572" s="9"/>
      <c r="K572" s="10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7"/>
      <c r="B573" s="8"/>
      <c r="C573" s="8"/>
      <c r="D573" s="8"/>
      <c r="E573" s="8"/>
      <c r="F573" s="8"/>
      <c r="G573" s="8"/>
      <c r="H573" s="8"/>
      <c r="I573" s="9"/>
      <c r="J573" s="9"/>
      <c r="K573" s="10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7"/>
      <c r="B574" s="8"/>
      <c r="C574" s="8"/>
      <c r="D574" s="8"/>
      <c r="E574" s="8"/>
      <c r="F574" s="8"/>
      <c r="G574" s="8"/>
      <c r="H574" s="8"/>
      <c r="I574" s="9"/>
      <c r="J574" s="9"/>
      <c r="K574" s="10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7"/>
      <c r="B575" s="8"/>
      <c r="C575" s="8"/>
      <c r="D575" s="8"/>
      <c r="E575" s="8"/>
      <c r="F575" s="8"/>
      <c r="G575" s="8"/>
      <c r="H575" s="8"/>
      <c r="I575" s="9"/>
      <c r="J575" s="9"/>
      <c r="K575" s="10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7"/>
      <c r="B576" s="8"/>
      <c r="C576" s="8"/>
      <c r="D576" s="8"/>
      <c r="E576" s="8"/>
      <c r="F576" s="8"/>
      <c r="G576" s="8"/>
      <c r="H576" s="8"/>
      <c r="I576" s="9"/>
      <c r="J576" s="9"/>
      <c r="K576" s="10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7"/>
      <c r="B577" s="8"/>
      <c r="C577" s="8"/>
      <c r="D577" s="8"/>
      <c r="E577" s="8"/>
      <c r="F577" s="8"/>
      <c r="G577" s="8"/>
      <c r="H577" s="8"/>
      <c r="I577" s="9"/>
      <c r="J577" s="9"/>
      <c r="K577" s="10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7"/>
      <c r="B578" s="8"/>
      <c r="C578" s="8"/>
      <c r="D578" s="8"/>
      <c r="E578" s="8"/>
      <c r="F578" s="8"/>
      <c r="G578" s="8"/>
      <c r="H578" s="8"/>
      <c r="I578" s="9"/>
      <c r="J578" s="9"/>
      <c r="K578" s="10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7"/>
      <c r="B579" s="8"/>
      <c r="C579" s="8"/>
      <c r="D579" s="8"/>
      <c r="E579" s="8"/>
      <c r="F579" s="8"/>
      <c r="G579" s="8"/>
      <c r="H579" s="8"/>
      <c r="I579" s="9"/>
      <c r="J579" s="9"/>
      <c r="K579" s="10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7"/>
      <c r="B580" s="8"/>
      <c r="C580" s="8"/>
      <c r="D580" s="8"/>
      <c r="E580" s="8"/>
      <c r="F580" s="8"/>
      <c r="G580" s="8"/>
      <c r="H580" s="8"/>
      <c r="I580" s="9"/>
      <c r="J580" s="9"/>
      <c r="K580" s="10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7"/>
      <c r="B581" s="8"/>
      <c r="C581" s="8"/>
      <c r="D581" s="8"/>
      <c r="E581" s="8"/>
      <c r="F581" s="8"/>
      <c r="G581" s="8"/>
      <c r="H581" s="8"/>
      <c r="I581" s="9"/>
      <c r="J581" s="9"/>
      <c r="K581" s="10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7"/>
      <c r="B582" s="8"/>
      <c r="C582" s="8"/>
      <c r="D582" s="8"/>
      <c r="E582" s="8"/>
      <c r="F582" s="8"/>
      <c r="G582" s="8"/>
      <c r="H582" s="8"/>
      <c r="I582" s="9"/>
      <c r="J582" s="9"/>
      <c r="K582" s="10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7"/>
      <c r="B583" s="8"/>
      <c r="C583" s="8"/>
      <c r="D583" s="8"/>
      <c r="E583" s="8"/>
      <c r="F583" s="8"/>
      <c r="G583" s="8"/>
      <c r="H583" s="8"/>
      <c r="I583" s="9"/>
      <c r="J583" s="9"/>
      <c r="K583" s="10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7"/>
      <c r="B584" s="8"/>
      <c r="C584" s="8"/>
      <c r="D584" s="8"/>
      <c r="E584" s="8"/>
      <c r="F584" s="8"/>
      <c r="G584" s="8"/>
      <c r="H584" s="8"/>
      <c r="I584" s="9"/>
      <c r="J584" s="9"/>
      <c r="K584" s="10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7"/>
      <c r="B585" s="8"/>
      <c r="C585" s="8"/>
      <c r="D585" s="8"/>
      <c r="E585" s="8"/>
      <c r="F585" s="8"/>
      <c r="G585" s="8"/>
      <c r="H585" s="8"/>
      <c r="I585" s="9"/>
      <c r="J585" s="9"/>
      <c r="K585" s="10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7"/>
      <c r="B586" s="8"/>
      <c r="C586" s="8"/>
      <c r="D586" s="8"/>
      <c r="E586" s="8"/>
      <c r="F586" s="8"/>
      <c r="G586" s="8"/>
      <c r="H586" s="8"/>
      <c r="I586" s="9"/>
      <c r="J586" s="9"/>
      <c r="K586" s="10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7"/>
      <c r="B587" s="8"/>
      <c r="C587" s="8"/>
      <c r="D587" s="8"/>
      <c r="E587" s="8"/>
      <c r="F587" s="8"/>
      <c r="G587" s="8"/>
      <c r="H587" s="8"/>
      <c r="I587" s="9"/>
      <c r="J587" s="9"/>
      <c r="K587" s="10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7"/>
      <c r="B588" s="8"/>
      <c r="C588" s="8"/>
      <c r="D588" s="8"/>
      <c r="E588" s="8"/>
      <c r="F588" s="8"/>
      <c r="G588" s="8"/>
      <c r="H588" s="8"/>
      <c r="I588" s="9"/>
      <c r="J588" s="9"/>
      <c r="K588" s="10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7"/>
      <c r="B589" s="8"/>
      <c r="C589" s="8"/>
      <c r="D589" s="8"/>
      <c r="E589" s="8"/>
      <c r="F589" s="8"/>
      <c r="G589" s="8"/>
      <c r="H589" s="8"/>
      <c r="I589" s="9"/>
      <c r="J589" s="9"/>
      <c r="K589" s="10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7"/>
      <c r="B590" s="8"/>
      <c r="C590" s="8"/>
      <c r="D590" s="8"/>
      <c r="E590" s="8"/>
      <c r="F590" s="8"/>
      <c r="G590" s="8"/>
      <c r="H590" s="8"/>
      <c r="I590" s="9"/>
      <c r="J590" s="9"/>
      <c r="K590" s="10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7"/>
      <c r="B591" s="8"/>
      <c r="C591" s="8"/>
      <c r="D591" s="8"/>
      <c r="E591" s="8"/>
      <c r="F591" s="8"/>
      <c r="G591" s="8"/>
      <c r="H591" s="8"/>
      <c r="I591" s="9"/>
      <c r="J591" s="9"/>
      <c r="K591" s="10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7"/>
      <c r="B592" s="8"/>
      <c r="C592" s="8"/>
      <c r="D592" s="8"/>
      <c r="E592" s="8"/>
      <c r="F592" s="8"/>
      <c r="G592" s="8"/>
      <c r="H592" s="8"/>
      <c r="I592" s="9"/>
      <c r="J592" s="9"/>
      <c r="K592" s="10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7"/>
      <c r="B593" s="8"/>
      <c r="C593" s="8"/>
      <c r="D593" s="8"/>
      <c r="E593" s="8"/>
      <c r="F593" s="8"/>
      <c r="G593" s="8"/>
      <c r="H593" s="8"/>
      <c r="I593" s="9"/>
      <c r="J593" s="9"/>
      <c r="K593" s="10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7"/>
      <c r="B594" s="8"/>
      <c r="C594" s="8"/>
      <c r="D594" s="8"/>
      <c r="E594" s="8"/>
      <c r="F594" s="8"/>
      <c r="G594" s="8"/>
      <c r="H594" s="8"/>
      <c r="I594" s="9"/>
      <c r="J594" s="9"/>
      <c r="K594" s="10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7"/>
      <c r="B595" s="8"/>
      <c r="C595" s="8"/>
      <c r="D595" s="8"/>
      <c r="E595" s="8"/>
      <c r="F595" s="8"/>
      <c r="G595" s="8"/>
      <c r="H595" s="8"/>
      <c r="I595" s="9"/>
      <c r="J595" s="9"/>
      <c r="K595" s="10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7"/>
      <c r="B596" s="8"/>
      <c r="C596" s="8"/>
      <c r="D596" s="8"/>
      <c r="E596" s="8"/>
      <c r="F596" s="8"/>
      <c r="G596" s="8"/>
      <c r="H596" s="8"/>
      <c r="I596" s="9"/>
      <c r="J596" s="9"/>
      <c r="K596" s="10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7"/>
      <c r="B597" s="8"/>
      <c r="C597" s="8"/>
      <c r="D597" s="8"/>
      <c r="E597" s="8"/>
      <c r="F597" s="8"/>
      <c r="G597" s="8"/>
      <c r="H597" s="8"/>
      <c r="I597" s="9"/>
      <c r="J597" s="9"/>
      <c r="K597" s="10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7"/>
      <c r="B598" s="8"/>
      <c r="C598" s="8"/>
      <c r="D598" s="8"/>
      <c r="E598" s="8"/>
      <c r="F598" s="8"/>
      <c r="G598" s="8"/>
      <c r="H598" s="8"/>
      <c r="I598" s="9"/>
      <c r="J598" s="9"/>
      <c r="K598" s="10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7"/>
      <c r="B599" s="8"/>
      <c r="C599" s="8"/>
      <c r="D599" s="8"/>
      <c r="E599" s="8"/>
      <c r="F599" s="8"/>
      <c r="G599" s="8"/>
      <c r="H599" s="8"/>
      <c r="I599" s="9"/>
      <c r="J599" s="9"/>
      <c r="K599" s="10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7"/>
      <c r="B600" s="8"/>
      <c r="C600" s="8"/>
      <c r="D600" s="8"/>
      <c r="E600" s="8"/>
      <c r="F600" s="8"/>
      <c r="G600" s="8"/>
      <c r="H600" s="8"/>
      <c r="I600" s="9"/>
      <c r="J600" s="9"/>
      <c r="K600" s="10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7"/>
      <c r="B601" s="8"/>
      <c r="C601" s="8"/>
      <c r="D601" s="8"/>
      <c r="E601" s="8"/>
      <c r="F601" s="8"/>
      <c r="G601" s="8"/>
      <c r="H601" s="8"/>
      <c r="I601" s="9"/>
      <c r="J601" s="9"/>
      <c r="K601" s="10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7"/>
      <c r="B602" s="8"/>
      <c r="C602" s="8"/>
      <c r="D602" s="8"/>
      <c r="E602" s="8"/>
      <c r="F602" s="8"/>
      <c r="G602" s="8"/>
      <c r="H602" s="8"/>
      <c r="I602" s="9"/>
      <c r="J602" s="9"/>
      <c r="K602" s="10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7"/>
      <c r="B603" s="8"/>
      <c r="C603" s="8"/>
      <c r="D603" s="8"/>
      <c r="E603" s="8"/>
      <c r="F603" s="8"/>
      <c r="G603" s="8"/>
      <c r="H603" s="8"/>
      <c r="I603" s="9"/>
      <c r="J603" s="9"/>
      <c r="K603" s="10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7"/>
      <c r="B604" s="8"/>
      <c r="C604" s="8"/>
      <c r="D604" s="8"/>
      <c r="E604" s="8"/>
      <c r="F604" s="8"/>
      <c r="G604" s="8"/>
      <c r="H604" s="8"/>
      <c r="I604" s="9"/>
      <c r="J604" s="9"/>
      <c r="K604" s="10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7"/>
      <c r="B605" s="8"/>
      <c r="C605" s="8"/>
      <c r="D605" s="8"/>
      <c r="E605" s="8"/>
      <c r="F605" s="8"/>
      <c r="G605" s="8"/>
      <c r="H605" s="8"/>
      <c r="I605" s="9"/>
      <c r="J605" s="9"/>
      <c r="K605" s="10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7"/>
      <c r="B606" s="8"/>
      <c r="C606" s="8"/>
      <c r="D606" s="8"/>
      <c r="E606" s="8"/>
      <c r="F606" s="8"/>
      <c r="G606" s="8"/>
      <c r="H606" s="8"/>
      <c r="I606" s="9"/>
      <c r="J606" s="9"/>
      <c r="K606" s="10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7"/>
      <c r="B607" s="8"/>
      <c r="C607" s="8"/>
      <c r="D607" s="8"/>
      <c r="E607" s="8"/>
      <c r="F607" s="8"/>
      <c r="G607" s="8"/>
      <c r="H607" s="8"/>
      <c r="I607" s="9"/>
      <c r="J607" s="9"/>
      <c r="K607" s="10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7"/>
      <c r="B608" s="8"/>
      <c r="C608" s="8"/>
      <c r="D608" s="8"/>
      <c r="E608" s="8"/>
      <c r="F608" s="8"/>
      <c r="G608" s="8"/>
      <c r="H608" s="8"/>
      <c r="I608" s="9"/>
      <c r="J608" s="9"/>
      <c r="K608" s="10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7"/>
      <c r="B609" s="8"/>
      <c r="C609" s="8"/>
      <c r="D609" s="8"/>
      <c r="E609" s="8"/>
      <c r="F609" s="8"/>
      <c r="G609" s="8"/>
      <c r="H609" s="8"/>
      <c r="I609" s="9"/>
      <c r="J609" s="9"/>
      <c r="K609" s="10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7"/>
      <c r="B610" s="8"/>
      <c r="C610" s="8"/>
      <c r="D610" s="8"/>
      <c r="E610" s="8"/>
      <c r="F610" s="8"/>
      <c r="G610" s="8"/>
      <c r="H610" s="8"/>
      <c r="I610" s="9"/>
      <c r="J610" s="9"/>
      <c r="K610" s="10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7"/>
      <c r="B611" s="8"/>
      <c r="C611" s="8"/>
      <c r="D611" s="8"/>
      <c r="E611" s="8"/>
      <c r="F611" s="8"/>
      <c r="G611" s="8"/>
      <c r="H611" s="8"/>
      <c r="I611" s="9"/>
      <c r="J611" s="9"/>
      <c r="K611" s="10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7"/>
      <c r="B612" s="8"/>
      <c r="C612" s="8"/>
      <c r="D612" s="8"/>
      <c r="E612" s="8"/>
      <c r="F612" s="8"/>
      <c r="G612" s="8"/>
      <c r="H612" s="8"/>
      <c r="I612" s="9"/>
      <c r="J612" s="9"/>
      <c r="K612" s="10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7"/>
      <c r="B613" s="8"/>
      <c r="C613" s="8"/>
      <c r="D613" s="8"/>
      <c r="E613" s="8"/>
      <c r="F613" s="8"/>
      <c r="G613" s="8"/>
      <c r="H613" s="8"/>
      <c r="I613" s="9"/>
      <c r="J613" s="9"/>
      <c r="K613" s="10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7"/>
      <c r="B614" s="8"/>
      <c r="C614" s="8"/>
      <c r="D614" s="8"/>
      <c r="E614" s="8"/>
      <c r="F614" s="8"/>
      <c r="G614" s="8"/>
      <c r="H614" s="8"/>
      <c r="I614" s="9"/>
      <c r="J614" s="9"/>
      <c r="K614" s="10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7"/>
      <c r="B615" s="8"/>
      <c r="C615" s="8"/>
      <c r="D615" s="8"/>
      <c r="E615" s="8"/>
      <c r="F615" s="8"/>
      <c r="G615" s="8"/>
      <c r="H615" s="8"/>
      <c r="I615" s="9"/>
      <c r="J615" s="9"/>
      <c r="K615" s="10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7"/>
      <c r="B616" s="8"/>
      <c r="C616" s="8"/>
      <c r="D616" s="8"/>
      <c r="E616" s="8"/>
      <c r="F616" s="8"/>
      <c r="G616" s="8"/>
      <c r="H616" s="8"/>
      <c r="I616" s="9"/>
      <c r="J616" s="9"/>
      <c r="K616" s="10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7"/>
      <c r="B617" s="8"/>
      <c r="C617" s="8"/>
      <c r="D617" s="8"/>
      <c r="E617" s="8"/>
      <c r="F617" s="8"/>
      <c r="G617" s="8"/>
      <c r="H617" s="8"/>
      <c r="I617" s="9"/>
      <c r="J617" s="9"/>
      <c r="K617" s="10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7"/>
      <c r="B618" s="8"/>
      <c r="C618" s="8"/>
      <c r="D618" s="8"/>
      <c r="E618" s="8"/>
      <c r="F618" s="8"/>
      <c r="G618" s="8"/>
      <c r="H618" s="8"/>
      <c r="I618" s="9"/>
      <c r="J618" s="9"/>
      <c r="K618" s="10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7"/>
      <c r="B619" s="8"/>
      <c r="C619" s="8"/>
      <c r="D619" s="8"/>
      <c r="E619" s="8"/>
      <c r="F619" s="8"/>
      <c r="G619" s="8"/>
      <c r="H619" s="8"/>
      <c r="I619" s="9"/>
      <c r="J619" s="9"/>
      <c r="K619" s="10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7"/>
      <c r="B620" s="8"/>
      <c r="C620" s="8"/>
      <c r="D620" s="8"/>
      <c r="E620" s="8"/>
      <c r="F620" s="8"/>
      <c r="G620" s="8"/>
      <c r="H620" s="8"/>
      <c r="I620" s="9"/>
      <c r="J620" s="9"/>
      <c r="K620" s="10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7"/>
      <c r="B621" s="8"/>
      <c r="C621" s="8"/>
      <c r="D621" s="8"/>
      <c r="E621" s="8"/>
      <c r="F621" s="8"/>
      <c r="G621" s="8"/>
      <c r="H621" s="8"/>
      <c r="I621" s="9"/>
      <c r="J621" s="9"/>
      <c r="K621" s="10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7"/>
      <c r="B622" s="8"/>
      <c r="C622" s="8"/>
      <c r="D622" s="8"/>
      <c r="E622" s="8"/>
      <c r="F622" s="8"/>
      <c r="G622" s="8"/>
      <c r="H622" s="8"/>
      <c r="I622" s="9"/>
      <c r="J622" s="9"/>
      <c r="K622" s="10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7"/>
      <c r="B623" s="8"/>
      <c r="C623" s="8"/>
      <c r="D623" s="8"/>
      <c r="E623" s="8"/>
      <c r="F623" s="8"/>
      <c r="G623" s="8"/>
      <c r="H623" s="8"/>
      <c r="I623" s="9"/>
      <c r="J623" s="9"/>
      <c r="K623" s="10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7"/>
      <c r="B624" s="8"/>
      <c r="C624" s="8"/>
      <c r="D624" s="8"/>
      <c r="E624" s="8"/>
      <c r="F624" s="8"/>
      <c r="G624" s="8"/>
      <c r="H624" s="8"/>
      <c r="I624" s="9"/>
      <c r="J624" s="9"/>
      <c r="K624" s="10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7"/>
      <c r="B625" s="8"/>
      <c r="C625" s="8"/>
      <c r="D625" s="8"/>
      <c r="E625" s="8"/>
      <c r="F625" s="8"/>
      <c r="G625" s="8"/>
      <c r="H625" s="8"/>
      <c r="I625" s="9"/>
      <c r="J625" s="9"/>
      <c r="K625" s="10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7"/>
      <c r="B626" s="8"/>
      <c r="C626" s="8"/>
      <c r="D626" s="8"/>
      <c r="E626" s="8"/>
      <c r="F626" s="8"/>
      <c r="G626" s="8"/>
      <c r="H626" s="8"/>
      <c r="I626" s="9"/>
      <c r="J626" s="9"/>
      <c r="K626" s="10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7"/>
      <c r="B627" s="8"/>
      <c r="C627" s="8"/>
      <c r="D627" s="8"/>
      <c r="E627" s="8"/>
      <c r="F627" s="8"/>
      <c r="G627" s="8"/>
      <c r="H627" s="8"/>
      <c r="I627" s="9"/>
      <c r="J627" s="9"/>
      <c r="K627" s="10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7"/>
      <c r="B628" s="8"/>
      <c r="C628" s="8"/>
      <c r="D628" s="8"/>
      <c r="E628" s="8"/>
      <c r="F628" s="8"/>
      <c r="G628" s="8"/>
      <c r="H628" s="8"/>
      <c r="I628" s="9"/>
      <c r="J628" s="9"/>
      <c r="K628" s="10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7"/>
      <c r="B629" s="8"/>
      <c r="C629" s="8"/>
      <c r="D629" s="8"/>
      <c r="E629" s="8"/>
      <c r="F629" s="8"/>
      <c r="G629" s="8"/>
      <c r="H629" s="8"/>
      <c r="I629" s="9"/>
      <c r="J629" s="9"/>
      <c r="K629" s="10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7"/>
      <c r="B630" s="8"/>
      <c r="C630" s="8"/>
      <c r="D630" s="8"/>
      <c r="E630" s="8"/>
      <c r="F630" s="8"/>
      <c r="G630" s="8"/>
      <c r="H630" s="8"/>
      <c r="I630" s="9"/>
      <c r="J630" s="9"/>
      <c r="K630" s="10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11"/>
      <c r="B631" s="12"/>
      <c r="C631" s="12"/>
      <c r="D631" s="12"/>
      <c r="E631" s="12"/>
      <c r="F631" s="12"/>
      <c r="G631" s="12"/>
      <c r="H631" s="12"/>
      <c r="I631" s="14"/>
      <c r="J631" s="14"/>
      <c r="K631" s="10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7"/>
      <c r="B632" s="8"/>
      <c r="C632" s="8"/>
      <c r="D632" s="8"/>
      <c r="E632" s="8"/>
      <c r="F632" s="8"/>
      <c r="G632" s="8"/>
      <c r="H632" s="8"/>
      <c r="I632" s="9"/>
      <c r="J632" s="9"/>
      <c r="K632" s="10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7"/>
      <c r="B633" s="8"/>
      <c r="C633" s="8"/>
      <c r="D633" s="8"/>
      <c r="E633" s="8"/>
      <c r="F633" s="8"/>
      <c r="G633" s="8"/>
      <c r="H633" s="8"/>
      <c r="I633" s="9"/>
      <c r="J633" s="9"/>
      <c r="K633" s="10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7"/>
      <c r="B634" s="8"/>
      <c r="C634" s="8"/>
      <c r="D634" s="8"/>
      <c r="E634" s="8"/>
      <c r="F634" s="8"/>
      <c r="G634" s="8"/>
      <c r="H634" s="8"/>
      <c r="I634" s="9"/>
      <c r="J634" s="9"/>
      <c r="K634" s="10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7"/>
      <c r="B635" s="8"/>
      <c r="C635" s="8"/>
      <c r="D635" s="8"/>
      <c r="E635" s="8"/>
      <c r="F635" s="8"/>
      <c r="G635" s="8"/>
      <c r="H635" s="8"/>
      <c r="I635" s="9"/>
      <c r="J635" s="9"/>
      <c r="K635" s="10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7"/>
      <c r="B636" s="8"/>
      <c r="C636" s="8"/>
      <c r="D636" s="8"/>
      <c r="E636" s="8"/>
      <c r="F636" s="8"/>
      <c r="G636" s="8"/>
      <c r="H636" s="8"/>
      <c r="I636" s="9"/>
      <c r="J636" s="9"/>
      <c r="K636" s="10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7"/>
      <c r="B637" s="8"/>
      <c r="C637" s="8"/>
      <c r="D637" s="8"/>
      <c r="E637" s="8"/>
      <c r="F637" s="8"/>
      <c r="G637" s="8"/>
      <c r="H637" s="8"/>
      <c r="I637" s="9"/>
      <c r="J637" s="9"/>
      <c r="K637" s="10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7"/>
      <c r="B638" s="8"/>
      <c r="C638" s="8"/>
      <c r="D638" s="8"/>
      <c r="E638" s="8"/>
      <c r="F638" s="8"/>
      <c r="G638" s="8"/>
      <c r="H638" s="8"/>
      <c r="I638" s="9"/>
      <c r="J638" s="9"/>
      <c r="K638" s="10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7"/>
      <c r="B639" s="8"/>
      <c r="C639" s="8"/>
      <c r="D639" s="8"/>
      <c r="E639" s="8"/>
      <c r="F639" s="8"/>
      <c r="G639" s="8"/>
      <c r="H639" s="8"/>
      <c r="I639" s="9"/>
      <c r="J639" s="9"/>
      <c r="K639" s="10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11"/>
      <c r="B640" s="12"/>
      <c r="C640" s="12"/>
      <c r="D640" s="12"/>
      <c r="E640" s="12"/>
      <c r="F640" s="12"/>
      <c r="G640" s="12"/>
      <c r="H640" s="12"/>
      <c r="I640" s="14"/>
      <c r="J640" s="14"/>
      <c r="K640" s="10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7"/>
      <c r="B641" s="8"/>
      <c r="C641" s="8"/>
      <c r="D641" s="8"/>
      <c r="E641" s="8"/>
      <c r="F641" s="8"/>
      <c r="G641" s="8"/>
      <c r="H641" s="8"/>
      <c r="I641" s="9"/>
      <c r="J641" s="9"/>
      <c r="K641" s="10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7"/>
      <c r="B642" s="8"/>
      <c r="C642" s="8"/>
      <c r="D642" s="8"/>
      <c r="E642" s="8"/>
      <c r="F642" s="8"/>
      <c r="G642" s="8"/>
      <c r="H642" s="8"/>
      <c r="I642" s="9"/>
      <c r="J642" s="9"/>
      <c r="K642" s="10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7"/>
      <c r="B643" s="8"/>
      <c r="C643" s="8"/>
      <c r="D643" s="8"/>
      <c r="E643" s="8"/>
      <c r="F643" s="8"/>
      <c r="G643" s="8"/>
      <c r="H643" s="8"/>
      <c r="I643" s="9"/>
      <c r="J643" s="9"/>
      <c r="K643" s="10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7"/>
      <c r="B644" s="8"/>
      <c r="C644" s="8"/>
      <c r="D644" s="8"/>
      <c r="E644" s="8"/>
      <c r="F644" s="8"/>
      <c r="G644" s="8"/>
      <c r="H644" s="8"/>
      <c r="I644" s="9"/>
      <c r="J644" s="9"/>
      <c r="K644" s="10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7"/>
      <c r="B645" s="8"/>
      <c r="C645" s="8"/>
      <c r="D645" s="8"/>
      <c r="E645" s="8"/>
      <c r="F645" s="8"/>
      <c r="G645" s="8"/>
      <c r="H645" s="8"/>
      <c r="I645" s="9"/>
      <c r="J645" s="9"/>
      <c r="K645" s="10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7"/>
      <c r="B646" s="8"/>
      <c r="C646" s="8"/>
      <c r="D646" s="8"/>
      <c r="E646" s="8"/>
      <c r="F646" s="8"/>
      <c r="G646" s="8"/>
      <c r="H646" s="8"/>
      <c r="I646" s="9"/>
      <c r="J646" s="9"/>
      <c r="K646" s="10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7"/>
      <c r="B647" s="8"/>
      <c r="C647" s="8"/>
      <c r="D647" s="8"/>
      <c r="E647" s="8"/>
      <c r="F647" s="8"/>
      <c r="G647" s="8"/>
      <c r="H647" s="8"/>
      <c r="I647" s="9"/>
      <c r="J647" s="9"/>
      <c r="K647" s="10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7"/>
      <c r="B648" s="8"/>
      <c r="C648" s="8"/>
      <c r="D648" s="8"/>
      <c r="E648" s="8"/>
      <c r="F648" s="8"/>
      <c r="G648" s="8"/>
      <c r="H648" s="8"/>
      <c r="I648" s="9"/>
      <c r="J648" s="9"/>
      <c r="K648" s="10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7"/>
      <c r="B649" s="8"/>
      <c r="C649" s="8"/>
      <c r="D649" s="8"/>
      <c r="E649" s="8"/>
      <c r="F649" s="8"/>
      <c r="G649" s="8"/>
      <c r="H649" s="8"/>
      <c r="I649" s="9"/>
      <c r="J649" s="9"/>
      <c r="K649" s="10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7"/>
      <c r="B650" s="8"/>
      <c r="C650" s="8"/>
      <c r="D650" s="8"/>
      <c r="E650" s="8"/>
      <c r="F650" s="8"/>
      <c r="G650" s="8"/>
      <c r="H650" s="8"/>
      <c r="I650" s="9"/>
      <c r="J650" s="9"/>
      <c r="K650" s="10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7"/>
      <c r="B651" s="8"/>
      <c r="C651" s="8"/>
      <c r="D651" s="8"/>
      <c r="E651" s="8"/>
      <c r="F651" s="8"/>
      <c r="G651" s="8"/>
      <c r="H651" s="8"/>
      <c r="I651" s="9"/>
      <c r="J651" s="9"/>
      <c r="K651" s="10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7"/>
      <c r="B652" s="8"/>
      <c r="C652" s="8"/>
      <c r="D652" s="8"/>
      <c r="E652" s="8"/>
      <c r="F652" s="8"/>
      <c r="G652" s="8"/>
      <c r="H652" s="8"/>
      <c r="I652" s="9"/>
      <c r="J652" s="9"/>
      <c r="K652" s="10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11"/>
      <c r="B653" s="12"/>
      <c r="C653" s="12"/>
      <c r="D653" s="12"/>
      <c r="E653" s="12"/>
      <c r="F653" s="12"/>
      <c r="G653" s="12"/>
      <c r="H653" s="12"/>
      <c r="I653" s="14"/>
      <c r="J653" s="14"/>
      <c r="K653" s="10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7"/>
      <c r="B654" s="8"/>
      <c r="C654" s="8"/>
      <c r="D654" s="8"/>
      <c r="E654" s="8"/>
      <c r="F654" s="8"/>
      <c r="G654" s="8"/>
      <c r="H654" s="8"/>
      <c r="I654" s="9"/>
      <c r="J654" s="9"/>
      <c r="K654" s="10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7"/>
      <c r="B655" s="8"/>
      <c r="C655" s="8"/>
      <c r="D655" s="8"/>
      <c r="E655" s="8"/>
      <c r="F655" s="8"/>
      <c r="G655" s="8"/>
      <c r="H655" s="8"/>
      <c r="I655" s="9"/>
      <c r="J655" s="9"/>
      <c r="K655" s="10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7"/>
      <c r="B656" s="8"/>
      <c r="C656" s="8"/>
      <c r="D656" s="8"/>
      <c r="E656" s="8"/>
      <c r="F656" s="8"/>
      <c r="G656" s="8"/>
      <c r="H656" s="8"/>
      <c r="I656" s="9"/>
      <c r="J656" s="9"/>
      <c r="K656" s="10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7"/>
      <c r="B657" s="8"/>
      <c r="C657" s="8"/>
      <c r="D657" s="8"/>
      <c r="E657" s="8"/>
      <c r="F657" s="8"/>
      <c r="G657" s="8"/>
      <c r="H657" s="8"/>
      <c r="I657" s="9"/>
      <c r="J657" s="9"/>
      <c r="K657" s="10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7"/>
      <c r="B658" s="8"/>
      <c r="C658" s="8"/>
      <c r="D658" s="8"/>
      <c r="E658" s="8"/>
      <c r="F658" s="8"/>
      <c r="G658" s="8"/>
      <c r="H658" s="8"/>
      <c r="I658" s="9"/>
      <c r="J658" s="9"/>
      <c r="K658" s="10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7"/>
      <c r="B659" s="8"/>
      <c r="C659" s="8"/>
      <c r="D659" s="8"/>
      <c r="E659" s="8"/>
      <c r="F659" s="8"/>
      <c r="G659" s="8"/>
      <c r="H659" s="8"/>
      <c r="I659" s="9"/>
      <c r="J659" s="9"/>
      <c r="K659" s="10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7"/>
      <c r="B660" s="8"/>
      <c r="C660" s="8"/>
      <c r="D660" s="8"/>
      <c r="E660" s="8"/>
      <c r="F660" s="8"/>
      <c r="G660" s="8"/>
      <c r="H660" s="8"/>
      <c r="I660" s="9"/>
      <c r="J660" s="9"/>
      <c r="K660" s="10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7"/>
      <c r="B661" s="8"/>
      <c r="C661" s="8"/>
      <c r="D661" s="8"/>
      <c r="E661" s="8"/>
      <c r="F661" s="8"/>
      <c r="G661" s="8"/>
      <c r="H661" s="8"/>
      <c r="I661" s="9"/>
      <c r="J661" s="9"/>
      <c r="K661" s="10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11"/>
      <c r="B662" s="12"/>
      <c r="C662" s="12"/>
      <c r="D662" s="12"/>
      <c r="E662" s="12"/>
      <c r="F662" s="12"/>
      <c r="G662" s="12"/>
      <c r="H662" s="12"/>
      <c r="I662" s="14"/>
      <c r="J662" s="14"/>
      <c r="K662" s="10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7"/>
      <c r="B663" s="8"/>
      <c r="C663" s="8"/>
      <c r="D663" s="8"/>
      <c r="E663" s="8"/>
      <c r="F663" s="8"/>
      <c r="G663" s="8"/>
      <c r="H663" s="8"/>
      <c r="I663" s="9"/>
      <c r="J663" s="9"/>
      <c r="K663" s="10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7"/>
      <c r="B664" s="8"/>
      <c r="C664" s="8"/>
      <c r="D664" s="8"/>
      <c r="E664" s="8"/>
      <c r="F664" s="8"/>
      <c r="G664" s="8"/>
      <c r="H664" s="8"/>
      <c r="I664" s="9"/>
      <c r="J664" s="9"/>
      <c r="K664" s="10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7"/>
      <c r="B665" s="8"/>
      <c r="C665" s="8"/>
      <c r="D665" s="8"/>
      <c r="E665" s="8"/>
      <c r="F665" s="8"/>
      <c r="G665" s="8"/>
      <c r="H665" s="8"/>
      <c r="I665" s="9"/>
      <c r="J665" s="9"/>
      <c r="K665" s="10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7"/>
      <c r="B666" s="8"/>
      <c r="C666" s="8"/>
      <c r="D666" s="8"/>
      <c r="E666" s="8"/>
      <c r="F666" s="8"/>
      <c r="G666" s="8"/>
      <c r="H666" s="8"/>
      <c r="I666" s="9"/>
      <c r="J666" s="9"/>
      <c r="K666" s="10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7"/>
      <c r="B667" s="8"/>
      <c r="C667" s="8"/>
      <c r="D667" s="8"/>
      <c r="E667" s="8"/>
      <c r="F667" s="8"/>
      <c r="G667" s="8"/>
      <c r="H667" s="8"/>
      <c r="I667" s="9"/>
      <c r="J667" s="9"/>
      <c r="K667" s="10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7"/>
      <c r="B668" s="8"/>
      <c r="C668" s="8"/>
      <c r="D668" s="8"/>
      <c r="E668" s="8"/>
      <c r="F668" s="8"/>
      <c r="G668" s="8"/>
      <c r="H668" s="8"/>
      <c r="I668" s="9"/>
      <c r="J668" s="9"/>
      <c r="K668" s="10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7"/>
      <c r="B669" s="8"/>
      <c r="C669" s="8"/>
      <c r="D669" s="8"/>
      <c r="E669" s="8"/>
      <c r="F669" s="8"/>
      <c r="G669" s="8"/>
      <c r="H669" s="8"/>
      <c r="I669" s="9"/>
      <c r="J669" s="9"/>
      <c r="K669" s="10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7"/>
      <c r="B670" s="8"/>
      <c r="C670" s="8"/>
      <c r="D670" s="8"/>
      <c r="E670" s="8"/>
      <c r="F670" s="8"/>
      <c r="G670" s="8"/>
      <c r="H670" s="8"/>
      <c r="I670" s="9"/>
      <c r="J670" s="9"/>
      <c r="K670" s="10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7"/>
      <c r="B671" s="8"/>
      <c r="C671" s="8"/>
      <c r="D671" s="8"/>
      <c r="E671" s="8"/>
      <c r="F671" s="8"/>
      <c r="G671" s="8"/>
      <c r="H671" s="8"/>
      <c r="I671" s="9"/>
      <c r="J671" s="9"/>
      <c r="K671" s="10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7"/>
      <c r="B672" s="8"/>
      <c r="C672" s="8"/>
      <c r="D672" s="8"/>
      <c r="E672" s="8"/>
      <c r="F672" s="8"/>
      <c r="G672" s="8"/>
      <c r="H672" s="8"/>
      <c r="I672" s="9"/>
      <c r="J672" s="9"/>
      <c r="K672" s="10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7"/>
      <c r="B673" s="8"/>
      <c r="C673" s="8"/>
      <c r="D673" s="8"/>
      <c r="E673" s="8"/>
      <c r="F673" s="8"/>
      <c r="G673" s="8"/>
      <c r="H673" s="8"/>
      <c r="I673" s="9"/>
      <c r="J673" s="9"/>
      <c r="K673" s="10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7"/>
      <c r="B674" s="8"/>
      <c r="C674" s="8"/>
      <c r="D674" s="8"/>
      <c r="E674" s="8"/>
      <c r="F674" s="8"/>
      <c r="G674" s="8"/>
      <c r="H674" s="8"/>
      <c r="I674" s="9"/>
      <c r="J674" s="9"/>
      <c r="K674" s="10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7"/>
      <c r="B675" s="8"/>
      <c r="C675" s="8"/>
      <c r="D675" s="8"/>
      <c r="E675" s="8"/>
      <c r="F675" s="8"/>
      <c r="G675" s="8"/>
      <c r="H675" s="8"/>
      <c r="I675" s="9"/>
      <c r="J675" s="9"/>
      <c r="K675" s="10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7"/>
      <c r="B676" s="8"/>
      <c r="C676" s="8"/>
      <c r="D676" s="8"/>
      <c r="E676" s="8"/>
      <c r="F676" s="8"/>
      <c r="G676" s="8"/>
      <c r="H676" s="8"/>
      <c r="I676" s="9"/>
      <c r="J676" s="9"/>
      <c r="K676" s="10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7"/>
      <c r="B677" s="8"/>
      <c r="C677" s="8"/>
      <c r="D677" s="8"/>
      <c r="E677" s="8"/>
      <c r="F677" s="8"/>
      <c r="G677" s="8"/>
      <c r="H677" s="8"/>
      <c r="I677" s="9"/>
      <c r="J677" s="9"/>
      <c r="K677" s="10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7"/>
      <c r="B678" s="8"/>
      <c r="C678" s="8"/>
      <c r="D678" s="8"/>
      <c r="E678" s="8"/>
      <c r="F678" s="8"/>
      <c r="G678" s="8"/>
      <c r="H678" s="8"/>
      <c r="I678" s="9"/>
      <c r="J678" s="9"/>
      <c r="K678" s="10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7"/>
      <c r="B679" s="8"/>
      <c r="C679" s="8"/>
      <c r="D679" s="8"/>
      <c r="E679" s="8"/>
      <c r="F679" s="8"/>
      <c r="G679" s="8"/>
      <c r="H679" s="8"/>
      <c r="I679" s="9"/>
      <c r="J679" s="9"/>
      <c r="K679" s="10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7"/>
      <c r="B680" s="8"/>
      <c r="C680" s="8"/>
      <c r="D680" s="8"/>
      <c r="E680" s="8"/>
      <c r="F680" s="8"/>
      <c r="G680" s="8"/>
      <c r="H680" s="8"/>
      <c r="I680" s="9"/>
      <c r="J680" s="9"/>
      <c r="K680" s="10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7"/>
      <c r="B681" s="8"/>
      <c r="C681" s="8"/>
      <c r="D681" s="8"/>
      <c r="E681" s="8"/>
      <c r="F681" s="8"/>
      <c r="G681" s="8"/>
      <c r="H681" s="8"/>
      <c r="I681" s="9"/>
      <c r="J681" s="9"/>
      <c r="K681" s="10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7"/>
      <c r="B682" s="8"/>
      <c r="C682" s="8"/>
      <c r="D682" s="8"/>
      <c r="E682" s="8"/>
      <c r="F682" s="8"/>
      <c r="G682" s="8"/>
      <c r="H682" s="8"/>
      <c r="I682" s="9"/>
      <c r="J682" s="9"/>
      <c r="K682" s="10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7"/>
      <c r="B683" s="8"/>
      <c r="C683" s="8"/>
      <c r="D683" s="8"/>
      <c r="E683" s="8"/>
      <c r="F683" s="8"/>
      <c r="G683" s="8"/>
      <c r="H683" s="8"/>
      <c r="I683" s="9"/>
      <c r="J683" s="9"/>
      <c r="K683" s="10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7"/>
      <c r="B684" s="8"/>
      <c r="C684" s="8"/>
      <c r="D684" s="8"/>
      <c r="E684" s="8"/>
      <c r="F684" s="8"/>
      <c r="G684" s="8"/>
      <c r="H684" s="8"/>
      <c r="I684" s="9"/>
      <c r="J684" s="9"/>
      <c r="K684" s="10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7"/>
      <c r="B685" s="8"/>
      <c r="C685" s="8"/>
      <c r="D685" s="8"/>
      <c r="E685" s="8"/>
      <c r="F685" s="8"/>
      <c r="G685" s="8"/>
      <c r="H685" s="8"/>
      <c r="I685" s="9"/>
      <c r="J685" s="9"/>
      <c r="K685" s="10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7"/>
      <c r="B686" s="8"/>
      <c r="C686" s="8"/>
      <c r="D686" s="8"/>
      <c r="E686" s="8"/>
      <c r="F686" s="8"/>
      <c r="G686" s="8"/>
      <c r="H686" s="8"/>
      <c r="I686" s="9"/>
      <c r="J686" s="9"/>
      <c r="K686" s="10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7"/>
      <c r="B687" s="8"/>
      <c r="C687" s="8"/>
      <c r="D687" s="8"/>
      <c r="E687" s="8"/>
      <c r="F687" s="8"/>
      <c r="G687" s="8"/>
      <c r="H687" s="8"/>
      <c r="I687" s="9"/>
      <c r="J687" s="9"/>
      <c r="K687" s="10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7"/>
      <c r="B688" s="8"/>
      <c r="C688" s="8"/>
      <c r="D688" s="8"/>
      <c r="E688" s="8"/>
      <c r="F688" s="8"/>
      <c r="G688" s="8"/>
      <c r="H688" s="8"/>
      <c r="I688" s="9"/>
      <c r="J688" s="9"/>
      <c r="K688" s="10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7"/>
      <c r="B689" s="8"/>
      <c r="C689" s="8"/>
      <c r="D689" s="8"/>
      <c r="E689" s="8"/>
      <c r="F689" s="8"/>
      <c r="G689" s="8"/>
      <c r="H689" s="8"/>
      <c r="I689" s="9"/>
      <c r="J689" s="9"/>
      <c r="K689" s="10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7"/>
      <c r="B690" s="8"/>
      <c r="C690" s="8"/>
      <c r="D690" s="8"/>
      <c r="E690" s="8"/>
      <c r="F690" s="8"/>
      <c r="G690" s="8"/>
      <c r="H690" s="8"/>
      <c r="I690" s="9"/>
      <c r="J690" s="9"/>
      <c r="K690" s="10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7"/>
      <c r="B691" s="8"/>
      <c r="C691" s="8"/>
      <c r="D691" s="8"/>
      <c r="E691" s="8"/>
      <c r="F691" s="8"/>
      <c r="G691" s="8"/>
      <c r="H691" s="8"/>
      <c r="I691" s="9"/>
      <c r="J691" s="9"/>
      <c r="K691" s="10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7"/>
      <c r="B692" s="8"/>
      <c r="C692" s="8"/>
      <c r="D692" s="8"/>
      <c r="E692" s="8"/>
      <c r="F692" s="8"/>
      <c r="G692" s="8"/>
      <c r="H692" s="8"/>
      <c r="I692" s="9"/>
      <c r="J692" s="9"/>
      <c r="K692" s="10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7"/>
      <c r="B693" s="8"/>
      <c r="C693" s="8"/>
      <c r="D693" s="8"/>
      <c r="E693" s="8"/>
      <c r="F693" s="8"/>
      <c r="G693" s="8"/>
      <c r="H693" s="8"/>
      <c r="I693" s="9"/>
      <c r="J693" s="9"/>
      <c r="K693" s="10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7"/>
      <c r="B694" s="8"/>
      <c r="C694" s="8"/>
      <c r="D694" s="8"/>
      <c r="E694" s="8"/>
      <c r="F694" s="8"/>
      <c r="G694" s="8"/>
      <c r="H694" s="8"/>
      <c r="I694" s="9"/>
      <c r="J694" s="9"/>
      <c r="K694" s="10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7"/>
      <c r="B695" s="8"/>
      <c r="C695" s="8"/>
      <c r="D695" s="8"/>
      <c r="E695" s="8"/>
      <c r="F695" s="8"/>
      <c r="G695" s="8"/>
      <c r="H695" s="8"/>
      <c r="I695" s="9"/>
      <c r="J695" s="9"/>
      <c r="K695" s="10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7"/>
      <c r="B696" s="8"/>
      <c r="C696" s="8"/>
      <c r="D696" s="8"/>
      <c r="E696" s="8"/>
      <c r="F696" s="8"/>
      <c r="G696" s="8"/>
      <c r="H696" s="8"/>
      <c r="I696" s="9"/>
      <c r="J696" s="9"/>
      <c r="K696" s="10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7"/>
      <c r="B697" s="8"/>
      <c r="C697" s="8"/>
      <c r="D697" s="8"/>
      <c r="E697" s="8"/>
      <c r="F697" s="8"/>
      <c r="G697" s="8"/>
      <c r="H697" s="8"/>
      <c r="I697" s="9"/>
      <c r="J697" s="9"/>
      <c r="K697" s="10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7"/>
      <c r="B698" s="8"/>
      <c r="C698" s="8"/>
      <c r="D698" s="8"/>
      <c r="E698" s="8"/>
      <c r="F698" s="8"/>
      <c r="G698" s="8"/>
      <c r="H698" s="8"/>
      <c r="I698" s="9"/>
      <c r="J698" s="9"/>
      <c r="K698" s="10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7"/>
      <c r="B699" s="8"/>
      <c r="C699" s="8"/>
      <c r="D699" s="8"/>
      <c r="E699" s="8"/>
      <c r="F699" s="8"/>
      <c r="G699" s="8"/>
      <c r="H699" s="8"/>
      <c r="I699" s="9"/>
      <c r="J699" s="9"/>
      <c r="K699" s="10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7"/>
      <c r="B700" s="8"/>
      <c r="C700" s="8"/>
      <c r="D700" s="8"/>
      <c r="E700" s="8"/>
      <c r="F700" s="8"/>
      <c r="G700" s="8"/>
      <c r="H700" s="8"/>
      <c r="I700" s="9"/>
      <c r="J700" s="9"/>
      <c r="K700" s="10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7"/>
      <c r="B701" s="8"/>
      <c r="C701" s="8"/>
      <c r="D701" s="8"/>
      <c r="E701" s="8"/>
      <c r="F701" s="8"/>
      <c r="G701" s="8"/>
      <c r="H701" s="8"/>
      <c r="I701" s="9"/>
      <c r="J701" s="9"/>
      <c r="K701" s="10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7"/>
      <c r="B702" s="8"/>
      <c r="C702" s="8"/>
      <c r="D702" s="8"/>
      <c r="E702" s="8"/>
      <c r="F702" s="8"/>
      <c r="G702" s="8"/>
      <c r="H702" s="8"/>
      <c r="I702" s="9"/>
      <c r="J702" s="9"/>
      <c r="K702" s="10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7"/>
      <c r="B703" s="8"/>
      <c r="C703" s="8"/>
      <c r="D703" s="8"/>
      <c r="E703" s="8"/>
      <c r="F703" s="8"/>
      <c r="G703" s="8"/>
      <c r="H703" s="8"/>
      <c r="I703" s="9"/>
      <c r="J703" s="9"/>
      <c r="K703" s="10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7"/>
      <c r="B704" s="8"/>
      <c r="C704" s="8"/>
      <c r="D704" s="8"/>
      <c r="E704" s="8"/>
      <c r="F704" s="8"/>
      <c r="G704" s="8"/>
      <c r="H704" s="8"/>
      <c r="I704" s="9"/>
      <c r="J704" s="9"/>
      <c r="K704" s="10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7"/>
      <c r="B705" s="8"/>
      <c r="C705" s="8"/>
      <c r="D705" s="8"/>
      <c r="E705" s="8"/>
      <c r="F705" s="8"/>
      <c r="G705" s="8"/>
      <c r="H705" s="8"/>
      <c r="I705" s="9"/>
      <c r="J705" s="9"/>
      <c r="K705" s="10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7"/>
      <c r="B706" s="8"/>
      <c r="C706" s="8"/>
      <c r="D706" s="8"/>
      <c r="E706" s="8"/>
      <c r="F706" s="8"/>
      <c r="G706" s="8"/>
      <c r="H706" s="8"/>
      <c r="I706" s="9"/>
      <c r="J706" s="9"/>
      <c r="K706" s="10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7"/>
      <c r="B707" s="8"/>
      <c r="C707" s="8"/>
      <c r="D707" s="8"/>
      <c r="E707" s="8"/>
      <c r="F707" s="8"/>
      <c r="G707" s="8"/>
      <c r="H707" s="8"/>
      <c r="I707" s="9"/>
      <c r="J707" s="9"/>
      <c r="K707" s="10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7"/>
      <c r="B708" s="8"/>
      <c r="C708" s="8"/>
      <c r="D708" s="8"/>
      <c r="E708" s="8"/>
      <c r="F708" s="8"/>
      <c r="G708" s="8"/>
      <c r="H708" s="8"/>
      <c r="I708" s="9"/>
      <c r="J708" s="9"/>
      <c r="K708" s="10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7"/>
      <c r="B709" s="8"/>
      <c r="C709" s="8"/>
      <c r="D709" s="8"/>
      <c r="E709" s="8"/>
      <c r="F709" s="8"/>
      <c r="G709" s="8"/>
      <c r="H709" s="8"/>
      <c r="I709" s="9"/>
      <c r="J709" s="9"/>
      <c r="K709" s="10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7"/>
      <c r="B710" s="8"/>
      <c r="C710" s="8"/>
      <c r="D710" s="8"/>
      <c r="E710" s="8"/>
      <c r="F710" s="8"/>
      <c r="G710" s="8"/>
      <c r="H710" s="8"/>
      <c r="I710" s="9"/>
      <c r="J710" s="9"/>
      <c r="K710" s="10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7"/>
      <c r="B711" s="8"/>
      <c r="C711" s="8"/>
      <c r="D711" s="8"/>
      <c r="E711" s="8"/>
      <c r="F711" s="8"/>
      <c r="G711" s="8"/>
      <c r="H711" s="8"/>
      <c r="I711" s="9"/>
      <c r="J711" s="9"/>
      <c r="K711" s="10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7"/>
      <c r="B712" s="8"/>
      <c r="C712" s="8"/>
      <c r="D712" s="8"/>
      <c r="E712" s="8"/>
      <c r="F712" s="8"/>
      <c r="G712" s="8"/>
      <c r="H712" s="8"/>
      <c r="I712" s="9"/>
      <c r="J712" s="9"/>
      <c r="K712" s="10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7"/>
      <c r="B713" s="8"/>
      <c r="C713" s="8"/>
      <c r="D713" s="8"/>
      <c r="E713" s="8"/>
      <c r="F713" s="8"/>
      <c r="G713" s="8"/>
      <c r="H713" s="8"/>
      <c r="I713" s="9"/>
      <c r="J713" s="9"/>
      <c r="K713" s="10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7"/>
      <c r="B714" s="8"/>
      <c r="C714" s="8"/>
      <c r="D714" s="8"/>
      <c r="E714" s="8"/>
      <c r="F714" s="8"/>
      <c r="G714" s="8"/>
      <c r="H714" s="8"/>
      <c r="I714" s="9"/>
      <c r="J714" s="9"/>
      <c r="K714" s="10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7"/>
      <c r="B715" s="8"/>
      <c r="C715" s="8"/>
      <c r="D715" s="8"/>
      <c r="E715" s="8"/>
      <c r="F715" s="8"/>
      <c r="G715" s="8"/>
      <c r="H715" s="8"/>
      <c r="I715" s="9"/>
      <c r="J715" s="9"/>
      <c r="K715" s="10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7"/>
      <c r="B716" s="8"/>
      <c r="C716" s="8"/>
      <c r="D716" s="8"/>
      <c r="E716" s="8"/>
      <c r="F716" s="8"/>
      <c r="G716" s="8"/>
      <c r="H716" s="8"/>
      <c r="I716" s="9"/>
      <c r="J716" s="9"/>
      <c r="K716" s="10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7"/>
      <c r="B717" s="8"/>
      <c r="C717" s="8"/>
      <c r="D717" s="8"/>
      <c r="E717" s="8"/>
      <c r="F717" s="8"/>
      <c r="G717" s="8"/>
      <c r="H717" s="8"/>
      <c r="I717" s="9"/>
      <c r="J717" s="9"/>
      <c r="K717" s="10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7"/>
      <c r="B718" s="8"/>
      <c r="C718" s="8"/>
      <c r="D718" s="8"/>
      <c r="E718" s="8"/>
      <c r="F718" s="8"/>
      <c r="G718" s="8"/>
      <c r="H718" s="8"/>
      <c r="I718" s="9"/>
      <c r="J718" s="9"/>
      <c r="K718" s="10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7"/>
      <c r="B719" s="8"/>
      <c r="C719" s="8"/>
      <c r="D719" s="8"/>
      <c r="E719" s="8"/>
      <c r="F719" s="8"/>
      <c r="G719" s="8"/>
      <c r="H719" s="8"/>
      <c r="I719" s="9"/>
      <c r="J719" s="9"/>
      <c r="K719" s="10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7"/>
      <c r="B720" s="8"/>
      <c r="C720" s="8"/>
      <c r="D720" s="8"/>
      <c r="E720" s="8"/>
      <c r="F720" s="8"/>
      <c r="G720" s="8"/>
      <c r="H720" s="8"/>
      <c r="I720" s="9"/>
      <c r="J720" s="9"/>
      <c r="K720" s="10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7"/>
      <c r="B721" s="8"/>
      <c r="C721" s="8"/>
      <c r="D721" s="8"/>
      <c r="E721" s="8"/>
      <c r="F721" s="8"/>
      <c r="G721" s="8"/>
      <c r="H721" s="8"/>
      <c r="I721" s="9"/>
      <c r="J721" s="9"/>
      <c r="K721" s="10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7"/>
      <c r="B722" s="8"/>
      <c r="C722" s="8"/>
      <c r="D722" s="8"/>
      <c r="E722" s="8"/>
      <c r="F722" s="8"/>
      <c r="G722" s="8"/>
      <c r="H722" s="8"/>
      <c r="I722" s="9"/>
      <c r="J722" s="9"/>
      <c r="K722" s="1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7"/>
      <c r="B723" s="8"/>
      <c r="C723" s="8"/>
      <c r="D723" s="8"/>
      <c r="E723" s="8"/>
      <c r="F723" s="8"/>
      <c r="G723" s="8"/>
      <c r="H723" s="8"/>
      <c r="I723" s="9"/>
      <c r="J723" s="9"/>
      <c r="K723" s="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7"/>
      <c r="B724" s="8"/>
      <c r="C724" s="8"/>
      <c r="D724" s="8"/>
      <c r="E724" s="8"/>
      <c r="F724" s="8"/>
      <c r="G724" s="8"/>
      <c r="H724" s="8"/>
      <c r="I724" s="9"/>
      <c r="J724" s="9"/>
      <c r="K724" s="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7"/>
      <c r="B725" s="8"/>
      <c r="C725" s="8"/>
      <c r="D725" s="8"/>
      <c r="E725" s="8"/>
      <c r="F725" s="8"/>
      <c r="G725" s="8"/>
      <c r="H725" s="8"/>
      <c r="I725" s="9"/>
      <c r="J725" s="9"/>
      <c r="K725" s="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7"/>
      <c r="B726" s="8"/>
      <c r="C726" s="8"/>
      <c r="D726" s="8"/>
      <c r="E726" s="8"/>
      <c r="F726" s="8"/>
      <c r="G726" s="8"/>
      <c r="H726" s="8"/>
      <c r="I726" s="9"/>
      <c r="J726" s="9"/>
      <c r="K726" s="1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11"/>
      <c r="B727" s="12"/>
      <c r="C727" s="12"/>
      <c r="D727" s="12"/>
      <c r="E727" s="12"/>
      <c r="F727" s="12"/>
      <c r="G727" s="12"/>
      <c r="H727" s="12"/>
      <c r="I727" s="13"/>
      <c r="J727" s="13"/>
      <c r="K727" s="1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7"/>
      <c r="B728" s="8"/>
      <c r="C728" s="8"/>
      <c r="D728" s="8"/>
      <c r="E728" s="8"/>
      <c r="F728" s="8"/>
      <c r="G728" s="8"/>
      <c r="H728" s="8"/>
      <c r="I728" s="9"/>
      <c r="J728" s="9"/>
      <c r="K728" s="1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7"/>
      <c r="B729" s="8"/>
      <c r="C729" s="8"/>
      <c r="D729" s="8"/>
      <c r="E729" s="8"/>
      <c r="F729" s="8"/>
      <c r="G729" s="8"/>
      <c r="H729" s="8"/>
      <c r="I729" s="9"/>
      <c r="J729" s="9"/>
      <c r="K729" s="1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7"/>
      <c r="B730" s="8"/>
      <c r="C730" s="8"/>
      <c r="D730" s="8"/>
      <c r="E730" s="8"/>
      <c r="F730" s="8"/>
      <c r="G730" s="8"/>
      <c r="H730" s="8"/>
      <c r="I730" s="9"/>
      <c r="J730" s="9"/>
      <c r="K730" s="1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7"/>
      <c r="B731" s="8"/>
      <c r="C731" s="8"/>
      <c r="D731" s="8"/>
      <c r="E731" s="8"/>
      <c r="F731" s="8"/>
      <c r="G731" s="8"/>
      <c r="H731" s="8"/>
      <c r="I731" s="9"/>
      <c r="J731" s="9"/>
      <c r="K731" s="1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7"/>
      <c r="B732" s="8"/>
      <c r="C732" s="8"/>
      <c r="D732" s="8"/>
      <c r="E732" s="8"/>
      <c r="F732" s="8"/>
      <c r="G732" s="8"/>
      <c r="H732" s="8"/>
      <c r="I732" s="9"/>
      <c r="J732" s="9"/>
      <c r="K732" s="1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7"/>
      <c r="B733" s="8"/>
      <c r="C733" s="8"/>
      <c r="D733" s="8"/>
      <c r="E733" s="8"/>
      <c r="F733" s="8"/>
      <c r="G733" s="8"/>
      <c r="H733" s="8"/>
      <c r="I733" s="9"/>
      <c r="J733" s="9"/>
      <c r="K733" s="1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7"/>
      <c r="B734" s="8"/>
      <c r="C734" s="8"/>
      <c r="D734" s="8"/>
      <c r="E734" s="8"/>
      <c r="F734" s="8"/>
      <c r="G734" s="8"/>
      <c r="H734" s="8"/>
      <c r="I734" s="9"/>
      <c r="J734" s="9"/>
      <c r="K734" s="1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7"/>
      <c r="B735" s="8"/>
      <c r="C735" s="8"/>
      <c r="D735" s="8"/>
      <c r="E735" s="8"/>
      <c r="F735" s="8"/>
      <c r="G735" s="8"/>
      <c r="H735" s="8"/>
      <c r="I735" s="9"/>
      <c r="J735" s="9"/>
      <c r="K735" s="1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7"/>
      <c r="B736" s="8"/>
      <c r="C736" s="8"/>
      <c r="D736" s="8"/>
      <c r="E736" s="8"/>
      <c r="F736" s="8"/>
      <c r="G736" s="8"/>
      <c r="H736" s="8"/>
      <c r="I736" s="9"/>
      <c r="J736" s="9"/>
      <c r="K736" s="1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7"/>
      <c r="B737" s="8"/>
      <c r="C737" s="8"/>
      <c r="D737" s="8"/>
      <c r="E737" s="8"/>
      <c r="F737" s="8"/>
      <c r="G737" s="8"/>
      <c r="H737" s="8"/>
      <c r="I737" s="9"/>
      <c r="J737" s="9"/>
      <c r="K737" s="1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7"/>
      <c r="B738" s="8"/>
      <c r="C738" s="8"/>
      <c r="D738" s="8"/>
      <c r="E738" s="8"/>
      <c r="F738" s="8"/>
      <c r="G738" s="8"/>
      <c r="H738" s="8"/>
      <c r="I738" s="9"/>
      <c r="J738" s="9"/>
      <c r="K738" s="1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7"/>
      <c r="B739" s="8"/>
      <c r="C739" s="8"/>
      <c r="D739" s="8"/>
      <c r="E739" s="8"/>
      <c r="F739" s="8"/>
      <c r="G739" s="8"/>
      <c r="H739" s="8"/>
      <c r="I739" s="9"/>
      <c r="J739" s="9"/>
      <c r="K739" s="10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7"/>
      <c r="B740" s="8"/>
      <c r="C740" s="8"/>
      <c r="D740" s="8"/>
      <c r="E740" s="8"/>
      <c r="F740" s="8"/>
      <c r="G740" s="8"/>
      <c r="H740" s="8"/>
      <c r="I740" s="9"/>
      <c r="J740" s="9"/>
      <c r="K740" s="10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7"/>
      <c r="B741" s="8"/>
      <c r="C741" s="8"/>
      <c r="D741" s="8"/>
      <c r="E741" s="8"/>
      <c r="F741" s="8"/>
      <c r="G741" s="8"/>
      <c r="H741" s="8"/>
      <c r="I741" s="9"/>
      <c r="J741" s="9"/>
      <c r="K741" s="10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7"/>
      <c r="B742" s="8"/>
      <c r="C742" s="8"/>
      <c r="D742" s="8"/>
      <c r="E742" s="8"/>
      <c r="F742" s="8"/>
      <c r="G742" s="8"/>
      <c r="H742" s="8"/>
      <c r="I742" s="9"/>
      <c r="J742" s="9"/>
      <c r="K742" s="10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7"/>
      <c r="B743" s="8"/>
      <c r="C743" s="8"/>
      <c r="D743" s="8"/>
      <c r="E743" s="8"/>
      <c r="F743" s="8"/>
      <c r="G743" s="8"/>
      <c r="H743" s="8"/>
      <c r="I743" s="9"/>
      <c r="J743" s="9"/>
      <c r="K743" s="10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7"/>
      <c r="B744" s="8"/>
      <c r="C744" s="8"/>
      <c r="D744" s="8"/>
      <c r="E744" s="8"/>
      <c r="F744" s="8"/>
      <c r="G744" s="8"/>
      <c r="H744" s="8"/>
      <c r="I744" s="9"/>
      <c r="J744" s="9"/>
      <c r="K744" s="10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7"/>
      <c r="B745" s="8"/>
      <c r="C745" s="8"/>
      <c r="D745" s="8"/>
      <c r="E745" s="8"/>
      <c r="F745" s="8"/>
      <c r="G745" s="8"/>
      <c r="H745" s="8"/>
      <c r="I745" s="9"/>
      <c r="J745" s="9"/>
      <c r="K745" s="10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7"/>
      <c r="B746" s="8"/>
      <c r="C746" s="8"/>
      <c r="D746" s="8"/>
      <c r="E746" s="8"/>
      <c r="F746" s="8"/>
      <c r="G746" s="8"/>
      <c r="H746" s="8"/>
      <c r="I746" s="9"/>
      <c r="J746" s="9"/>
      <c r="K746" s="10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7"/>
      <c r="B747" s="8"/>
      <c r="C747" s="8"/>
      <c r="D747" s="8"/>
      <c r="E747" s="8"/>
      <c r="F747" s="8"/>
      <c r="G747" s="8"/>
      <c r="H747" s="8"/>
      <c r="I747" s="9"/>
      <c r="J747" s="9"/>
      <c r="K747" s="10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7"/>
      <c r="B748" s="8"/>
      <c r="C748" s="8"/>
      <c r="D748" s="8"/>
      <c r="E748" s="8"/>
      <c r="F748" s="8"/>
      <c r="G748" s="8"/>
      <c r="H748" s="8"/>
      <c r="I748" s="9"/>
      <c r="J748" s="9"/>
      <c r="K748" s="10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7"/>
      <c r="B749" s="8"/>
      <c r="C749" s="8"/>
      <c r="D749" s="8"/>
      <c r="E749" s="8"/>
      <c r="F749" s="8"/>
      <c r="G749" s="8"/>
      <c r="H749" s="8"/>
      <c r="I749" s="9"/>
      <c r="J749" s="9"/>
      <c r="K749" s="10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7"/>
      <c r="B750" s="8"/>
      <c r="C750" s="8"/>
      <c r="D750" s="8"/>
      <c r="E750" s="8"/>
      <c r="F750" s="8"/>
      <c r="G750" s="8"/>
      <c r="H750" s="8"/>
      <c r="I750" s="9"/>
      <c r="J750" s="9"/>
      <c r="K750" s="10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7"/>
      <c r="B751" s="8"/>
      <c r="C751" s="8"/>
      <c r="D751" s="8"/>
      <c r="E751" s="8"/>
      <c r="F751" s="8"/>
      <c r="G751" s="8"/>
      <c r="H751" s="8"/>
      <c r="I751" s="9"/>
      <c r="J751" s="9"/>
      <c r="K751" s="10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7"/>
      <c r="B752" s="8"/>
      <c r="C752" s="8"/>
      <c r="D752" s="8"/>
      <c r="E752" s="8"/>
      <c r="F752" s="8"/>
      <c r="G752" s="8"/>
      <c r="H752" s="8"/>
      <c r="I752" s="9"/>
      <c r="J752" s="9"/>
      <c r="K752" s="10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7"/>
      <c r="B753" s="8"/>
      <c r="C753" s="8"/>
      <c r="D753" s="8"/>
      <c r="E753" s="8"/>
      <c r="F753" s="8"/>
      <c r="G753" s="8"/>
      <c r="H753" s="8"/>
      <c r="I753" s="9"/>
      <c r="J753" s="9"/>
      <c r="K753" s="10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7"/>
      <c r="B754" s="8"/>
      <c r="C754" s="8"/>
      <c r="D754" s="8"/>
      <c r="E754" s="8"/>
      <c r="F754" s="8"/>
      <c r="G754" s="8"/>
      <c r="H754" s="8"/>
      <c r="I754" s="9"/>
      <c r="J754" s="9"/>
      <c r="K754" s="10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7"/>
      <c r="B755" s="8"/>
      <c r="C755" s="8"/>
      <c r="D755" s="8"/>
      <c r="E755" s="8"/>
      <c r="F755" s="8"/>
      <c r="G755" s="8"/>
      <c r="H755" s="8"/>
      <c r="I755" s="9"/>
      <c r="J755" s="9"/>
      <c r="K755" s="10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7"/>
      <c r="B756" s="8"/>
      <c r="C756" s="8"/>
      <c r="D756" s="8"/>
      <c r="E756" s="8"/>
      <c r="F756" s="8"/>
      <c r="G756" s="8"/>
      <c r="H756" s="8"/>
      <c r="I756" s="9"/>
      <c r="J756" s="9"/>
      <c r="K756" s="10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7"/>
      <c r="B757" s="8"/>
      <c r="C757" s="8"/>
      <c r="D757" s="8"/>
      <c r="E757" s="8"/>
      <c r="F757" s="8"/>
      <c r="G757" s="8"/>
      <c r="H757" s="8"/>
      <c r="I757" s="9"/>
      <c r="J757" s="9"/>
      <c r="K757" s="10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7"/>
      <c r="B758" s="8"/>
      <c r="C758" s="8"/>
      <c r="D758" s="8"/>
      <c r="E758" s="8"/>
      <c r="F758" s="8"/>
      <c r="G758" s="8"/>
      <c r="H758" s="8"/>
      <c r="I758" s="9"/>
      <c r="J758" s="9"/>
      <c r="K758" s="10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7"/>
      <c r="B759" s="8"/>
      <c r="C759" s="8"/>
      <c r="D759" s="8"/>
      <c r="E759" s="8"/>
      <c r="F759" s="8"/>
      <c r="G759" s="8"/>
      <c r="H759" s="8"/>
      <c r="I759" s="9"/>
      <c r="J759" s="9"/>
      <c r="K759" s="10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7"/>
      <c r="B760" s="8"/>
      <c r="C760" s="8"/>
      <c r="D760" s="8"/>
      <c r="E760" s="8"/>
      <c r="F760" s="8"/>
      <c r="G760" s="8"/>
      <c r="H760" s="8"/>
      <c r="I760" s="9"/>
      <c r="J760" s="9"/>
      <c r="K760" s="1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7"/>
      <c r="B761" s="8"/>
      <c r="C761" s="8"/>
      <c r="D761" s="8"/>
      <c r="E761" s="8"/>
      <c r="F761" s="8"/>
      <c r="G761" s="8"/>
      <c r="H761" s="8"/>
      <c r="I761" s="9"/>
      <c r="J761" s="9"/>
      <c r="K761" s="1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7"/>
      <c r="B762" s="8"/>
      <c r="C762" s="8"/>
      <c r="D762" s="8"/>
      <c r="E762" s="8"/>
      <c r="F762" s="8"/>
      <c r="G762" s="8"/>
      <c r="H762" s="8"/>
      <c r="I762" s="9"/>
      <c r="J762" s="9"/>
      <c r="K762" s="1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7"/>
      <c r="B763" s="8"/>
      <c r="C763" s="8"/>
      <c r="D763" s="8"/>
      <c r="E763" s="8"/>
      <c r="F763" s="8"/>
      <c r="G763" s="8"/>
      <c r="H763" s="8"/>
      <c r="I763" s="9"/>
      <c r="J763" s="9"/>
      <c r="K763" s="10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7"/>
      <c r="B764" s="8"/>
      <c r="C764" s="8"/>
      <c r="D764" s="8"/>
      <c r="E764" s="8"/>
      <c r="F764" s="8"/>
      <c r="G764" s="8"/>
      <c r="H764" s="8"/>
      <c r="I764" s="9"/>
      <c r="J764" s="9"/>
      <c r="K764" s="10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7"/>
      <c r="B765" s="8"/>
      <c r="C765" s="8"/>
      <c r="D765" s="8"/>
      <c r="E765" s="8"/>
      <c r="F765" s="8"/>
      <c r="G765" s="8"/>
      <c r="H765" s="8"/>
      <c r="I765" s="9"/>
      <c r="J765" s="9"/>
      <c r="K765" s="10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7"/>
      <c r="B766" s="8"/>
      <c r="C766" s="8"/>
      <c r="D766" s="8"/>
      <c r="E766" s="8"/>
      <c r="F766" s="8"/>
      <c r="G766" s="8"/>
      <c r="H766" s="8"/>
      <c r="I766" s="9"/>
      <c r="J766" s="9"/>
      <c r="K766" s="10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7"/>
      <c r="B767" s="8"/>
      <c r="C767" s="8"/>
      <c r="D767" s="8"/>
      <c r="E767" s="8"/>
      <c r="F767" s="8"/>
      <c r="G767" s="8"/>
      <c r="H767" s="8"/>
      <c r="I767" s="9"/>
      <c r="J767" s="9"/>
      <c r="K767" s="10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7"/>
      <c r="B768" s="8"/>
      <c r="C768" s="8"/>
      <c r="D768" s="8"/>
      <c r="E768" s="8"/>
      <c r="F768" s="8"/>
      <c r="G768" s="8"/>
      <c r="H768" s="8"/>
      <c r="I768" s="9"/>
      <c r="J768" s="9"/>
      <c r="K768" s="10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7"/>
      <c r="B769" s="8"/>
      <c r="C769" s="8"/>
      <c r="D769" s="8"/>
      <c r="E769" s="8"/>
      <c r="F769" s="8"/>
      <c r="G769" s="8"/>
      <c r="H769" s="8"/>
      <c r="I769" s="9"/>
      <c r="J769" s="9"/>
      <c r="K769" s="10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7"/>
      <c r="B770" s="8"/>
      <c r="C770" s="8"/>
      <c r="D770" s="8"/>
      <c r="E770" s="8"/>
      <c r="F770" s="8"/>
      <c r="G770" s="8"/>
      <c r="H770" s="8"/>
      <c r="I770" s="9"/>
      <c r="J770" s="9"/>
      <c r="K770" s="10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7"/>
      <c r="B771" s="8"/>
      <c r="C771" s="8"/>
      <c r="D771" s="8"/>
      <c r="E771" s="8"/>
      <c r="F771" s="8"/>
      <c r="G771" s="8"/>
      <c r="H771" s="8"/>
      <c r="I771" s="9"/>
      <c r="J771" s="9"/>
      <c r="K771" s="10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7"/>
      <c r="B772" s="8"/>
      <c r="C772" s="8"/>
      <c r="D772" s="8"/>
      <c r="E772" s="8"/>
      <c r="F772" s="8"/>
      <c r="G772" s="8"/>
      <c r="H772" s="8"/>
      <c r="I772" s="9"/>
      <c r="J772" s="9"/>
      <c r="K772" s="10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7"/>
      <c r="B773" s="8"/>
      <c r="C773" s="8"/>
      <c r="D773" s="8"/>
      <c r="E773" s="8"/>
      <c r="F773" s="8"/>
      <c r="G773" s="8"/>
      <c r="H773" s="8"/>
      <c r="I773" s="9"/>
      <c r="J773" s="9"/>
      <c r="K773" s="1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7"/>
      <c r="B774" s="8"/>
      <c r="C774" s="8"/>
      <c r="D774" s="8"/>
      <c r="E774" s="8"/>
      <c r="F774" s="8"/>
      <c r="G774" s="8"/>
      <c r="H774" s="8"/>
      <c r="I774" s="9"/>
      <c r="J774" s="9"/>
      <c r="K774" s="1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7"/>
      <c r="B775" s="8"/>
      <c r="C775" s="8"/>
      <c r="D775" s="8"/>
      <c r="E775" s="8"/>
      <c r="F775" s="8"/>
      <c r="G775" s="8"/>
      <c r="H775" s="8"/>
      <c r="I775" s="9"/>
      <c r="J775" s="9"/>
      <c r="K775" s="10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7"/>
      <c r="B776" s="8"/>
      <c r="C776" s="8"/>
      <c r="D776" s="8"/>
      <c r="E776" s="8"/>
      <c r="F776" s="8"/>
      <c r="G776" s="8"/>
      <c r="H776" s="8"/>
      <c r="I776" s="9"/>
      <c r="J776" s="9"/>
      <c r="K776" s="10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11"/>
      <c r="B777" s="12"/>
      <c r="C777" s="12"/>
      <c r="D777" s="12"/>
      <c r="E777" s="12"/>
      <c r="F777" s="12"/>
      <c r="G777" s="12"/>
      <c r="H777" s="12"/>
      <c r="I777" s="14"/>
      <c r="J777" s="14"/>
      <c r="K777" s="10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7"/>
      <c r="B778" s="8"/>
      <c r="C778" s="8"/>
      <c r="D778" s="8"/>
      <c r="E778" s="8"/>
      <c r="F778" s="8"/>
      <c r="G778" s="8"/>
      <c r="H778" s="8"/>
      <c r="I778" s="9"/>
      <c r="J778" s="9"/>
      <c r="K778" s="10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7"/>
      <c r="B779" s="8"/>
      <c r="C779" s="8"/>
      <c r="D779" s="8"/>
      <c r="E779" s="8"/>
      <c r="F779" s="8"/>
      <c r="G779" s="8"/>
      <c r="H779" s="8"/>
      <c r="I779" s="9"/>
      <c r="J779" s="9"/>
      <c r="K779" s="10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7"/>
      <c r="B780" s="8"/>
      <c r="C780" s="8"/>
      <c r="D780" s="8"/>
      <c r="E780" s="8"/>
      <c r="F780" s="8"/>
      <c r="G780" s="8"/>
      <c r="H780" s="8"/>
      <c r="I780" s="9"/>
      <c r="J780" s="9"/>
      <c r="K780" s="10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7"/>
      <c r="B781" s="8"/>
      <c r="C781" s="8"/>
      <c r="D781" s="8"/>
      <c r="E781" s="8"/>
      <c r="F781" s="8"/>
      <c r="G781" s="8"/>
      <c r="H781" s="8"/>
      <c r="I781" s="9"/>
      <c r="J781" s="9"/>
      <c r="K781" s="10"/>
      <c r="L781" s="15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7"/>
      <c r="B782" s="8"/>
      <c r="C782" s="8"/>
      <c r="D782" s="8"/>
      <c r="E782" s="8"/>
      <c r="F782" s="8"/>
      <c r="G782" s="8"/>
      <c r="H782" s="8"/>
      <c r="I782" s="9"/>
      <c r="J782" s="9"/>
      <c r="K782" s="10"/>
      <c r="L782" s="15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7"/>
      <c r="B783" s="8"/>
      <c r="C783" s="8"/>
      <c r="D783" s="8"/>
      <c r="E783" s="8"/>
      <c r="F783" s="8"/>
      <c r="G783" s="8"/>
      <c r="H783" s="8"/>
      <c r="I783" s="9"/>
      <c r="J783" s="9"/>
      <c r="K783" s="10"/>
      <c r="L783" s="15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7"/>
      <c r="B784" s="8"/>
      <c r="C784" s="8"/>
      <c r="D784" s="8"/>
      <c r="E784" s="8"/>
      <c r="F784" s="8"/>
      <c r="G784" s="8"/>
      <c r="H784" s="8"/>
      <c r="I784" s="9"/>
      <c r="J784" s="9"/>
      <c r="K784" s="10"/>
      <c r="L784" s="15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7"/>
      <c r="B785" s="8"/>
      <c r="C785" s="8"/>
      <c r="D785" s="8"/>
      <c r="E785" s="8"/>
      <c r="F785" s="8"/>
      <c r="G785" s="8"/>
      <c r="H785" s="8"/>
      <c r="I785" s="9"/>
      <c r="J785" s="9"/>
      <c r="K785" s="10"/>
      <c r="L785" s="15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7"/>
      <c r="B786" s="8"/>
      <c r="C786" s="8"/>
      <c r="D786" s="8"/>
      <c r="E786" s="8"/>
      <c r="F786" s="8"/>
      <c r="G786" s="8"/>
      <c r="H786" s="8"/>
      <c r="I786" s="9"/>
      <c r="J786" s="9"/>
      <c r="K786" s="10"/>
      <c r="L786" s="15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7"/>
      <c r="B787" s="8"/>
      <c r="C787" s="8"/>
      <c r="D787" s="8"/>
      <c r="E787" s="8"/>
      <c r="F787" s="8"/>
      <c r="G787" s="8"/>
      <c r="H787" s="8"/>
      <c r="I787" s="9"/>
      <c r="J787" s="9"/>
      <c r="K787" s="10"/>
      <c r="L787" s="15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7"/>
      <c r="B788" s="8"/>
      <c r="C788" s="8"/>
      <c r="D788" s="8"/>
      <c r="E788" s="8"/>
      <c r="F788" s="8"/>
      <c r="G788" s="8"/>
      <c r="H788" s="8"/>
      <c r="I788" s="9"/>
      <c r="J788" s="9"/>
      <c r="K788" s="10"/>
      <c r="L788" s="15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7"/>
      <c r="B789" s="8"/>
      <c r="C789" s="8"/>
      <c r="D789" s="8"/>
      <c r="E789" s="8"/>
      <c r="F789" s="8"/>
      <c r="G789" s="8"/>
      <c r="H789" s="8"/>
      <c r="I789" s="9"/>
      <c r="J789" s="9"/>
      <c r="K789" s="10"/>
      <c r="L789" s="15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11"/>
      <c r="B790" s="12"/>
      <c r="C790" s="12"/>
      <c r="D790" s="12"/>
      <c r="E790" s="12"/>
      <c r="F790" s="12"/>
      <c r="G790" s="12"/>
      <c r="H790" s="12"/>
      <c r="I790" s="14"/>
      <c r="J790" s="14"/>
      <c r="K790" s="10"/>
      <c r="L790" s="15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7"/>
      <c r="B791" s="8"/>
      <c r="C791" s="8"/>
      <c r="D791" s="8"/>
      <c r="E791" s="8"/>
      <c r="F791" s="8"/>
      <c r="G791" s="8"/>
      <c r="H791" s="8"/>
      <c r="I791" s="9"/>
      <c r="J791" s="9"/>
      <c r="K791" s="10"/>
      <c r="L791" s="15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7"/>
      <c r="B792" s="8"/>
      <c r="C792" s="8"/>
      <c r="D792" s="8"/>
      <c r="E792" s="8"/>
      <c r="F792" s="8"/>
      <c r="G792" s="8"/>
      <c r="H792" s="8"/>
      <c r="I792" s="9"/>
      <c r="J792" s="9"/>
      <c r="K792" s="10"/>
      <c r="L792" s="15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7"/>
      <c r="B793" s="8"/>
      <c r="C793" s="8"/>
      <c r="D793" s="8"/>
      <c r="E793" s="8"/>
      <c r="F793" s="8"/>
      <c r="G793" s="8"/>
      <c r="H793" s="8"/>
      <c r="I793" s="9"/>
      <c r="J793" s="9"/>
      <c r="K793" s="10"/>
      <c r="L793" s="15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7"/>
      <c r="B794" s="8"/>
      <c r="C794" s="8"/>
      <c r="D794" s="8"/>
      <c r="E794" s="8"/>
      <c r="F794" s="8"/>
      <c r="G794" s="8"/>
      <c r="H794" s="8"/>
      <c r="I794" s="9"/>
      <c r="J794" s="9"/>
      <c r="K794" s="10"/>
      <c r="L794" s="1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7"/>
      <c r="B795" s="8"/>
      <c r="C795" s="8"/>
      <c r="D795" s="8"/>
      <c r="E795" s="8"/>
      <c r="F795" s="8"/>
      <c r="G795" s="8"/>
      <c r="H795" s="8"/>
      <c r="I795" s="9"/>
      <c r="J795" s="9"/>
      <c r="K795" s="10"/>
      <c r="L795" s="1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11"/>
      <c r="B796" s="12"/>
      <c r="C796" s="12"/>
      <c r="D796" s="12"/>
      <c r="E796" s="12"/>
      <c r="F796" s="12"/>
      <c r="G796" s="12"/>
      <c r="H796" s="12"/>
      <c r="I796" s="14"/>
      <c r="J796" s="14"/>
      <c r="K796" s="10"/>
      <c r="L796" s="1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7"/>
      <c r="B797" s="8"/>
      <c r="C797" s="8"/>
      <c r="D797" s="8"/>
      <c r="E797" s="8"/>
      <c r="F797" s="8"/>
      <c r="G797" s="8"/>
      <c r="H797" s="8"/>
      <c r="I797" s="9"/>
      <c r="J797" s="9"/>
      <c r="K797" s="10"/>
      <c r="L797" s="1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7"/>
      <c r="B798" s="8"/>
      <c r="C798" s="8"/>
      <c r="D798" s="8"/>
      <c r="E798" s="8"/>
      <c r="F798" s="8"/>
      <c r="G798" s="8"/>
      <c r="H798" s="8"/>
      <c r="I798" s="9"/>
      <c r="J798" s="9"/>
      <c r="K798" s="10"/>
      <c r="L798" s="1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7"/>
      <c r="B799" s="8"/>
      <c r="C799" s="8"/>
      <c r="D799" s="8"/>
      <c r="E799" s="8"/>
      <c r="F799" s="8"/>
      <c r="G799" s="8"/>
      <c r="H799" s="8"/>
      <c r="I799" s="9"/>
      <c r="J799" s="9"/>
      <c r="K799" s="10"/>
      <c r="L799" s="1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7"/>
      <c r="B800" s="8"/>
      <c r="C800" s="8"/>
      <c r="D800" s="8"/>
      <c r="E800" s="8"/>
      <c r="F800" s="8"/>
      <c r="G800" s="8"/>
      <c r="H800" s="8"/>
      <c r="I800" s="9"/>
      <c r="J800" s="9"/>
      <c r="K800" s="10"/>
      <c r="L800" s="1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7"/>
      <c r="B801" s="8"/>
      <c r="C801" s="8"/>
      <c r="D801" s="8"/>
      <c r="E801" s="8"/>
      <c r="F801" s="8"/>
      <c r="G801" s="8"/>
      <c r="H801" s="8"/>
      <c r="I801" s="9"/>
      <c r="J801" s="9"/>
      <c r="K801" s="10"/>
      <c r="L801" s="1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7"/>
      <c r="B802" s="8"/>
      <c r="C802" s="8"/>
      <c r="D802" s="8"/>
      <c r="E802" s="8"/>
      <c r="F802" s="8"/>
      <c r="G802" s="8"/>
      <c r="H802" s="8"/>
      <c r="I802" s="9"/>
      <c r="J802" s="9"/>
      <c r="K802" s="10"/>
      <c r="L802" s="1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7"/>
      <c r="B803" s="8"/>
      <c r="C803" s="8"/>
      <c r="D803" s="8"/>
      <c r="E803" s="8"/>
      <c r="F803" s="8"/>
      <c r="G803" s="8"/>
      <c r="H803" s="8"/>
      <c r="I803" s="9"/>
      <c r="J803" s="9"/>
      <c r="K803" s="10"/>
      <c r="L803" s="1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7"/>
      <c r="B804" s="8"/>
      <c r="C804" s="8"/>
      <c r="D804" s="8"/>
      <c r="E804" s="8"/>
      <c r="F804" s="8"/>
      <c r="G804" s="8"/>
      <c r="H804" s="8"/>
      <c r="I804" s="9"/>
      <c r="J804" s="9"/>
      <c r="K804" s="10"/>
      <c r="L804" s="1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7"/>
      <c r="B805" s="8"/>
      <c r="C805" s="8"/>
      <c r="D805" s="8"/>
      <c r="E805" s="8"/>
      <c r="F805" s="8"/>
      <c r="G805" s="8"/>
      <c r="H805" s="8"/>
      <c r="I805" s="9"/>
      <c r="J805" s="9"/>
      <c r="K805" s="10"/>
      <c r="L805" s="1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7"/>
      <c r="B806" s="8"/>
      <c r="C806" s="8"/>
      <c r="D806" s="8"/>
      <c r="E806" s="8"/>
      <c r="F806" s="8"/>
      <c r="G806" s="8"/>
      <c r="H806" s="8"/>
      <c r="I806" s="9"/>
      <c r="J806" s="9"/>
      <c r="K806" s="10"/>
      <c r="L806" s="1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7"/>
      <c r="B807" s="8"/>
      <c r="C807" s="8"/>
      <c r="D807" s="8"/>
      <c r="E807" s="8"/>
      <c r="F807" s="8"/>
      <c r="G807" s="8"/>
      <c r="H807" s="8"/>
      <c r="I807" s="9"/>
      <c r="J807" s="9"/>
      <c r="K807" s="10"/>
      <c r="L807" s="1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7"/>
      <c r="B808" s="8"/>
      <c r="C808" s="8"/>
      <c r="D808" s="8"/>
      <c r="E808" s="8"/>
      <c r="F808" s="8"/>
      <c r="G808" s="8"/>
      <c r="H808" s="8"/>
      <c r="I808" s="9"/>
      <c r="J808" s="9"/>
      <c r="K808" s="10"/>
      <c r="L808" s="1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7"/>
      <c r="B809" s="8"/>
      <c r="C809" s="8"/>
      <c r="D809" s="8"/>
      <c r="E809" s="8"/>
      <c r="F809" s="8"/>
      <c r="G809" s="8"/>
      <c r="H809" s="8"/>
      <c r="I809" s="9"/>
      <c r="J809" s="9"/>
      <c r="K809" s="10"/>
      <c r="L809" s="1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11"/>
      <c r="B810" s="12"/>
      <c r="C810" s="12"/>
      <c r="D810" s="12"/>
      <c r="E810" s="12"/>
      <c r="F810" s="12"/>
      <c r="G810" s="12"/>
      <c r="H810" s="12"/>
      <c r="I810" s="14"/>
      <c r="J810" s="14"/>
      <c r="K810" s="10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7"/>
      <c r="B811" s="8"/>
      <c r="C811" s="8"/>
      <c r="D811" s="8"/>
      <c r="E811" s="8"/>
      <c r="F811" s="8"/>
      <c r="G811" s="8"/>
      <c r="H811" s="8"/>
      <c r="I811" s="9"/>
      <c r="J811" s="9"/>
      <c r="K811" s="10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7"/>
      <c r="B812" s="8"/>
      <c r="C812" s="8"/>
      <c r="D812" s="8"/>
      <c r="E812" s="8"/>
      <c r="F812" s="8"/>
      <c r="G812" s="8"/>
      <c r="H812" s="8"/>
      <c r="I812" s="9"/>
      <c r="J812" s="9"/>
      <c r="K812" s="10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7"/>
      <c r="B813" s="8"/>
      <c r="C813" s="8"/>
      <c r="D813" s="8"/>
      <c r="E813" s="8"/>
      <c r="F813" s="8"/>
      <c r="G813" s="8"/>
      <c r="H813" s="8"/>
      <c r="I813" s="9"/>
      <c r="J813" s="9"/>
      <c r="K813" s="10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7"/>
      <c r="B814" s="8"/>
      <c r="C814" s="8"/>
      <c r="D814" s="8"/>
      <c r="E814" s="8"/>
      <c r="F814" s="8"/>
      <c r="G814" s="8"/>
      <c r="H814" s="8"/>
      <c r="I814" s="9"/>
      <c r="J814" s="9"/>
      <c r="K814" s="1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7"/>
      <c r="B815" s="8"/>
      <c r="C815" s="8"/>
      <c r="D815" s="8"/>
      <c r="E815" s="8"/>
      <c r="F815" s="8"/>
      <c r="G815" s="8"/>
      <c r="H815" s="8"/>
      <c r="I815" s="9"/>
      <c r="J815" s="9"/>
      <c r="K815" s="1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7"/>
      <c r="B816" s="8"/>
      <c r="C816" s="8"/>
      <c r="D816" s="8"/>
      <c r="E816" s="8"/>
      <c r="F816" s="8"/>
      <c r="G816" s="8"/>
      <c r="H816" s="8"/>
      <c r="I816" s="9"/>
      <c r="J816" s="9"/>
      <c r="K816" s="1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11"/>
      <c r="B817" s="12"/>
      <c r="C817" s="12"/>
      <c r="D817" s="12"/>
      <c r="E817" s="12"/>
      <c r="F817" s="12"/>
      <c r="G817" s="12"/>
      <c r="H817" s="12"/>
      <c r="I817" s="14"/>
      <c r="J817" s="14"/>
      <c r="K817" s="1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17"/>
      <c r="B818" s="8"/>
      <c r="C818" s="8"/>
      <c r="D818" s="8"/>
      <c r="E818" s="8"/>
      <c r="F818" s="8"/>
      <c r="G818" s="8"/>
      <c r="H818" s="8"/>
      <c r="I818" s="9"/>
      <c r="J818" s="9"/>
      <c r="K818" s="10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7"/>
      <c r="B819" s="8"/>
      <c r="C819" s="8"/>
      <c r="D819" s="8"/>
      <c r="E819" s="8"/>
      <c r="F819" s="8"/>
      <c r="G819" s="8"/>
      <c r="H819" s="8"/>
      <c r="I819" s="9"/>
      <c r="J819" s="9"/>
      <c r="K819" s="1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7"/>
      <c r="B820" s="8"/>
      <c r="C820" s="8"/>
      <c r="D820" s="8"/>
      <c r="E820" s="8"/>
      <c r="F820" s="8"/>
      <c r="G820" s="8"/>
      <c r="H820" s="8"/>
      <c r="I820" s="9"/>
      <c r="J820" s="9"/>
      <c r="K820" s="1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7"/>
      <c r="B821" s="8"/>
      <c r="C821" s="8"/>
      <c r="D821" s="8"/>
      <c r="E821" s="8"/>
      <c r="F821" s="8"/>
      <c r="G821" s="8"/>
      <c r="H821" s="8"/>
      <c r="I821" s="9"/>
      <c r="J821" s="9"/>
      <c r="K821" s="1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7"/>
      <c r="B822" s="8"/>
      <c r="C822" s="8"/>
      <c r="D822" s="8"/>
      <c r="E822" s="8"/>
      <c r="F822" s="8"/>
      <c r="G822" s="8"/>
      <c r="H822" s="8"/>
      <c r="I822" s="9"/>
      <c r="J822" s="9"/>
      <c r="K822" s="1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7"/>
      <c r="B823" s="8"/>
      <c r="C823" s="8"/>
      <c r="D823" s="8"/>
      <c r="E823" s="8"/>
      <c r="F823" s="8"/>
      <c r="G823" s="8"/>
      <c r="H823" s="8"/>
      <c r="I823" s="9"/>
      <c r="J823" s="9"/>
      <c r="K823" s="1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7"/>
      <c r="B824" s="8"/>
      <c r="C824" s="8"/>
      <c r="D824" s="8"/>
      <c r="E824" s="8"/>
      <c r="F824" s="8"/>
      <c r="G824" s="8"/>
      <c r="H824" s="8"/>
      <c r="I824" s="9"/>
      <c r="J824" s="9"/>
      <c r="K824" s="1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7"/>
      <c r="B825" s="8"/>
      <c r="C825" s="8"/>
      <c r="D825" s="8"/>
      <c r="E825" s="8"/>
      <c r="F825" s="8"/>
      <c r="G825" s="8"/>
      <c r="H825" s="8"/>
      <c r="I825" s="9"/>
      <c r="J825" s="9"/>
      <c r="K825" s="1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7"/>
      <c r="B826" s="8"/>
      <c r="C826" s="8"/>
      <c r="D826" s="8"/>
      <c r="E826" s="8"/>
      <c r="F826" s="8"/>
      <c r="G826" s="8"/>
      <c r="H826" s="8"/>
      <c r="I826" s="9"/>
      <c r="J826" s="9"/>
      <c r="K826" s="1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7"/>
      <c r="B827" s="8"/>
      <c r="C827" s="8"/>
      <c r="D827" s="8"/>
      <c r="E827" s="8"/>
      <c r="F827" s="8"/>
      <c r="G827" s="8"/>
      <c r="H827" s="8"/>
      <c r="I827" s="9"/>
      <c r="J827" s="9"/>
      <c r="K827" s="1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7"/>
      <c r="B828" s="8"/>
      <c r="C828" s="8"/>
      <c r="D828" s="8"/>
      <c r="E828" s="8"/>
      <c r="F828" s="8"/>
      <c r="G828" s="8"/>
      <c r="H828" s="8"/>
      <c r="I828" s="9"/>
      <c r="J828" s="9"/>
      <c r="K828" s="1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7"/>
      <c r="B829" s="8"/>
      <c r="C829" s="8"/>
      <c r="D829" s="8"/>
      <c r="E829" s="8"/>
      <c r="F829" s="8"/>
      <c r="G829" s="8"/>
      <c r="H829" s="8"/>
      <c r="I829" s="9"/>
      <c r="J829" s="9"/>
      <c r="K829" s="1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7"/>
      <c r="B830" s="8"/>
      <c r="C830" s="8"/>
      <c r="D830" s="8"/>
      <c r="E830" s="8"/>
      <c r="F830" s="8"/>
      <c r="G830" s="8"/>
      <c r="H830" s="8"/>
      <c r="I830" s="9"/>
      <c r="J830" s="9"/>
      <c r="K830" s="1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7"/>
      <c r="B831" s="8"/>
      <c r="C831" s="8"/>
      <c r="D831" s="8"/>
      <c r="E831" s="8"/>
      <c r="F831" s="8"/>
      <c r="G831" s="8"/>
      <c r="H831" s="8"/>
      <c r="I831" s="9"/>
      <c r="J831" s="9"/>
      <c r="K831" s="1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7"/>
      <c r="B832" s="8"/>
      <c r="C832" s="8"/>
      <c r="D832" s="8"/>
      <c r="E832" s="8"/>
      <c r="F832" s="8"/>
      <c r="G832" s="8"/>
      <c r="H832" s="8"/>
      <c r="I832" s="9"/>
      <c r="J832" s="9"/>
      <c r="K832" s="1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7"/>
      <c r="B833" s="8"/>
      <c r="C833" s="8"/>
      <c r="D833" s="8"/>
      <c r="E833" s="8"/>
      <c r="F833" s="8"/>
      <c r="G833" s="8"/>
      <c r="H833" s="8"/>
      <c r="I833" s="9"/>
      <c r="J833" s="9"/>
      <c r="K833" s="1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7"/>
      <c r="B834" s="8"/>
      <c r="C834" s="8"/>
      <c r="D834" s="8"/>
      <c r="E834" s="8"/>
      <c r="F834" s="8"/>
      <c r="G834" s="8"/>
      <c r="H834" s="8"/>
      <c r="I834" s="9"/>
      <c r="J834" s="9"/>
      <c r="K834" s="1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7"/>
      <c r="B835" s="8"/>
      <c r="C835" s="8"/>
      <c r="D835" s="8"/>
      <c r="E835" s="8"/>
      <c r="F835" s="8"/>
      <c r="G835" s="8"/>
      <c r="H835" s="8"/>
      <c r="I835" s="9"/>
      <c r="J835" s="9"/>
      <c r="K835" s="1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7"/>
      <c r="B836" s="8"/>
      <c r="C836" s="8"/>
      <c r="D836" s="8"/>
      <c r="E836" s="8"/>
      <c r="F836" s="8"/>
      <c r="G836" s="8"/>
      <c r="H836" s="8"/>
      <c r="I836" s="9"/>
      <c r="J836" s="9"/>
      <c r="K836" s="1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7"/>
      <c r="B837" s="8"/>
      <c r="C837" s="8"/>
      <c r="D837" s="8"/>
      <c r="E837" s="8"/>
      <c r="F837" s="8"/>
      <c r="G837" s="8"/>
      <c r="H837" s="8"/>
      <c r="I837" s="9"/>
      <c r="J837" s="9"/>
      <c r="K837" s="1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7"/>
      <c r="B838" s="8"/>
      <c r="C838" s="8"/>
      <c r="D838" s="8"/>
      <c r="E838" s="8"/>
      <c r="F838" s="8"/>
      <c r="G838" s="8"/>
      <c r="H838" s="8"/>
      <c r="I838" s="9"/>
      <c r="J838" s="9"/>
      <c r="K838" s="1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7"/>
      <c r="B839" s="8"/>
      <c r="C839" s="8"/>
      <c r="D839" s="8"/>
      <c r="E839" s="8"/>
      <c r="F839" s="8"/>
      <c r="G839" s="8"/>
      <c r="H839" s="8"/>
      <c r="I839" s="9"/>
      <c r="J839" s="9"/>
      <c r="K839" s="1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7"/>
      <c r="B840" s="8"/>
      <c r="C840" s="8"/>
      <c r="D840" s="8"/>
      <c r="E840" s="8"/>
      <c r="F840" s="8"/>
      <c r="G840" s="8"/>
      <c r="H840" s="8"/>
      <c r="I840" s="9"/>
      <c r="J840" s="9"/>
      <c r="K840" s="1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7"/>
      <c r="B841" s="8"/>
      <c r="C841" s="8"/>
      <c r="D841" s="8"/>
      <c r="E841" s="8"/>
      <c r="F841" s="8"/>
      <c r="G841" s="8"/>
      <c r="H841" s="8"/>
      <c r="I841" s="9"/>
      <c r="J841" s="9"/>
      <c r="K841" s="1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7"/>
      <c r="B842" s="8"/>
      <c r="C842" s="8"/>
      <c r="D842" s="8"/>
      <c r="E842" s="8"/>
      <c r="F842" s="8"/>
      <c r="G842" s="8"/>
      <c r="H842" s="8"/>
      <c r="I842" s="9"/>
      <c r="J842" s="9"/>
      <c r="K842" s="1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7"/>
      <c r="B843" s="8"/>
      <c r="C843" s="8"/>
      <c r="D843" s="8"/>
      <c r="E843" s="8"/>
      <c r="F843" s="8"/>
      <c r="G843" s="8"/>
      <c r="H843" s="8"/>
      <c r="I843" s="9"/>
      <c r="J843" s="9"/>
      <c r="K843" s="1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7"/>
      <c r="B844" s="8"/>
      <c r="C844" s="8"/>
      <c r="D844" s="8"/>
      <c r="E844" s="8"/>
      <c r="F844" s="8"/>
      <c r="G844" s="8"/>
      <c r="H844" s="8"/>
      <c r="I844" s="9"/>
      <c r="J844" s="9"/>
      <c r="K844" s="1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7"/>
      <c r="B845" s="8"/>
      <c r="C845" s="8"/>
      <c r="D845" s="8"/>
      <c r="E845" s="8"/>
      <c r="F845" s="8"/>
      <c r="G845" s="8"/>
      <c r="H845" s="8"/>
      <c r="I845" s="9"/>
      <c r="J845" s="9"/>
      <c r="K845" s="1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7"/>
      <c r="B846" s="8"/>
      <c r="C846" s="8"/>
      <c r="D846" s="8"/>
      <c r="E846" s="8"/>
      <c r="F846" s="8"/>
      <c r="G846" s="8"/>
      <c r="H846" s="8"/>
      <c r="I846" s="9"/>
      <c r="J846" s="9"/>
      <c r="K846" s="1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7"/>
      <c r="B847" s="8"/>
      <c r="C847" s="8"/>
      <c r="D847" s="8"/>
      <c r="E847" s="8"/>
      <c r="F847" s="8"/>
      <c r="G847" s="8"/>
      <c r="H847" s="8"/>
      <c r="I847" s="9"/>
      <c r="J847" s="9"/>
      <c r="K847" s="1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7"/>
      <c r="B848" s="8"/>
      <c r="C848" s="8"/>
      <c r="D848" s="8"/>
      <c r="E848" s="8"/>
      <c r="F848" s="8"/>
      <c r="G848" s="8"/>
      <c r="H848" s="8"/>
      <c r="I848" s="9"/>
      <c r="J848" s="9"/>
      <c r="K848" s="1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7"/>
      <c r="B849" s="8"/>
      <c r="C849" s="8"/>
      <c r="D849" s="8"/>
      <c r="E849" s="8"/>
      <c r="F849" s="8"/>
      <c r="G849" s="8"/>
      <c r="H849" s="8"/>
      <c r="I849" s="9"/>
      <c r="J849" s="9"/>
      <c r="K849" s="1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7"/>
      <c r="B850" s="8"/>
      <c r="C850" s="8"/>
      <c r="D850" s="8"/>
      <c r="E850" s="8"/>
      <c r="F850" s="8"/>
      <c r="G850" s="8"/>
      <c r="H850" s="8"/>
      <c r="I850" s="9"/>
      <c r="J850" s="9"/>
      <c r="K850" s="1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7"/>
      <c r="B851" s="8"/>
      <c r="C851" s="8"/>
      <c r="D851" s="8"/>
      <c r="E851" s="8"/>
      <c r="F851" s="8"/>
      <c r="G851" s="8"/>
      <c r="H851" s="8"/>
      <c r="I851" s="9"/>
      <c r="J851" s="9"/>
      <c r="K851" s="1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7"/>
      <c r="B852" s="8"/>
      <c r="C852" s="8"/>
      <c r="D852" s="8"/>
      <c r="E852" s="8"/>
      <c r="F852" s="8"/>
      <c r="G852" s="8"/>
      <c r="H852" s="8"/>
      <c r="I852" s="9"/>
      <c r="J852" s="9"/>
      <c r="K852" s="1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7"/>
      <c r="B853" s="8"/>
      <c r="C853" s="8"/>
      <c r="D853" s="8"/>
      <c r="E853" s="8"/>
      <c r="F853" s="8"/>
      <c r="G853" s="8"/>
      <c r="H853" s="8"/>
      <c r="I853" s="9"/>
      <c r="J853" s="9"/>
      <c r="K853" s="1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7"/>
      <c r="B854" s="8"/>
      <c r="C854" s="8"/>
      <c r="D854" s="8"/>
      <c r="E854" s="8"/>
      <c r="F854" s="8"/>
      <c r="G854" s="8"/>
      <c r="H854" s="8"/>
      <c r="I854" s="9"/>
      <c r="J854" s="9"/>
      <c r="K854" s="1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7"/>
      <c r="B855" s="8"/>
      <c r="C855" s="8"/>
      <c r="D855" s="8"/>
      <c r="E855" s="8"/>
      <c r="F855" s="8"/>
      <c r="G855" s="8"/>
      <c r="H855" s="8"/>
      <c r="I855" s="9"/>
      <c r="J855" s="9"/>
      <c r="K855" s="1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7"/>
      <c r="B856" s="8"/>
      <c r="C856" s="8"/>
      <c r="D856" s="8"/>
      <c r="E856" s="8"/>
      <c r="F856" s="8"/>
      <c r="G856" s="8"/>
      <c r="H856" s="8"/>
      <c r="I856" s="9"/>
      <c r="J856" s="9"/>
      <c r="K856" s="1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7"/>
      <c r="B857" s="8"/>
      <c r="C857" s="8"/>
      <c r="D857" s="8"/>
      <c r="E857" s="8"/>
      <c r="F857" s="8"/>
      <c r="G857" s="8"/>
      <c r="H857" s="8"/>
      <c r="I857" s="9"/>
      <c r="J857" s="9"/>
      <c r="K857" s="1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7"/>
      <c r="B858" s="8"/>
      <c r="C858" s="8"/>
      <c r="D858" s="8"/>
      <c r="E858" s="8"/>
      <c r="F858" s="8"/>
      <c r="G858" s="8"/>
      <c r="H858" s="8"/>
      <c r="I858" s="9"/>
      <c r="J858" s="9"/>
      <c r="K858" s="1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7"/>
      <c r="B859" s="8"/>
      <c r="C859" s="8"/>
      <c r="D859" s="8"/>
      <c r="E859" s="8"/>
      <c r="F859" s="8"/>
      <c r="G859" s="8"/>
      <c r="H859" s="8"/>
      <c r="I859" s="9"/>
      <c r="J859" s="9"/>
      <c r="K859" s="1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7"/>
      <c r="B860" s="8"/>
      <c r="C860" s="8"/>
      <c r="D860" s="8"/>
      <c r="E860" s="8"/>
      <c r="F860" s="8"/>
      <c r="G860" s="8"/>
      <c r="H860" s="8"/>
      <c r="I860" s="9"/>
      <c r="J860" s="9"/>
      <c r="K860" s="1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7"/>
      <c r="B861" s="8"/>
      <c r="C861" s="8"/>
      <c r="D861" s="8"/>
      <c r="E861" s="8"/>
      <c r="F861" s="8"/>
      <c r="G861" s="8"/>
      <c r="H861" s="8"/>
      <c r="I861" s="9"/>
      <c r="J861" s="9"/>
      <c r="K861" s="1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7"/>
      <c r="B862" s="8"/>
      <c r="C862" s="8"/>
      <c r="D862" s="8"/>
      <c r="E862" s="8"/>
      <c r="F862" s="8"/>
      <c r="G862" s="8"/>
      <c r="H862" s="8"/>
      <c r="I862" s="9"/>
      <c r="J862" s="9"/>
      <c r="K862" s="1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7"/>
      <c r="B863" s="8"/>
      <c r="C863" s="8"/>
      <c r="D863" s="8"/>
      <c r="E863" s="8"/>
      <c r="F863" s="8"/>
      <c r="G863" s="8"/>
      <c r="H863" s="8"/>
      <c r="I863" s="9"/>
      <c r="J863" s="9"/>
      <c r="K863" s="1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7"/>
      <c r="B864" s="8"/>
      <c r="C864" s="8"/>
      <c r="D864" s="8"/>
      <c r="E864" s="8"/>
      <c r="F864" s="8"/>
      <c r="G864" s="8"/>
      <c r="H864" s="8"/>
      <c r="I864" s="9"/>
      <c r="J864" s="9"/>
      <c r="K864" s="1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7"/>
      <c r="B865" s="8"/>
      <c r="C865" s="8"/>
      <c r="D865" s="8"/>
      <c r="E865" s="8"/>
      <c r="F865" s="8"/>
      <c r="G865" s="8"/>
      <c r="H865" s="8"/>
      <c r="I865" s="9"/>
      <c r="J865" s="9"/>
      <c r="K865" s="1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7"/>
      <c r="B866" s="8"/>
      <c r="C866" s="8"/>
      <c r="D866" s="8"/>
      <c r="E866" s="8"/>
      <c r="F866" s="8"/>
      <c r="G866" s="8"/>
      <c r="H866" s="8"/>
      <c r="I866" s="9"/>
      <c r="J866" s="9"/>
      <c r="K866" s="1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7"/>
      <c r="B867" s="8"/>
      <c r="C867" s="8"/>
      <c r="D867" s="8"/>
      <c r="E867" s="8"/>
      <c r="F867" s="8"/>
      <c r="G867" s="8"/>
      <c r="H867" s="8"/>
      <c r="I867" s="9"/>
      <c r="J867" s="9"/>
      <c r="K867" s="1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7"/>
      <c r="B868" s="8"/>
      <c r="C868" s="8"/>
      <c r="D868" s="8"/>
      <c r="E868" s="8"/>
      <c r="F868" s="8"/>
      <c r="G868" s="8"/>
      <c r="H868" s="8"/>
      <c r="I868" s="9"/>
      <c r="J868" s="9"/>
      <c r="K868" s="1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7"/>
      <c r="B869" s="8"/>
      <c r="C869" s="8"/>
      <c r="D869" s="8"/>
      <c r="E869" s="8"/>
      <c r="F869" s="8"/>
      <c r="G869" s="8"/>
      <c r="H869" s="8"/>
      <c r="I869" s="9"/>
      <c r="J869" s="9"/>
      <c r="K869" s="1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7"/>
      <c r="B870" s="8"/>
      <c r="C870" s="8"/>
      <c r="D870" s="8"/>
      <c r="E870" s="8"/>
      <c r="F870" s="8"/>
      <c r="G870" s="8"/>
      <c r="H870" s="8"/>
      <c r="I870" s="9"/>
      <c r="J870" s="9"/>
      <c r="K870" s="1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7"/>
      <c r="B871" s="8"/>
      <c r="C871" s="8"/>
      <c r="D871" s="8"/>
      <c r="E871" s="8"/>
      <c r="F871" s="8"/>
      <c r="G871" s="8"/>
      <c r="H871" s="8"/>
      <c r="I871" s="9"/>
      <c r="J871" s="9"/>
      <c r="K871" s="1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7"/>
      <c r="B872" s="8"/>
      <c r="C872" s="8"/>
      <c r="D872" s="8"/>
      <c r="E872" s="8"/>
      <c r="F872" s="8"/>
      <c r="G872" s="8"/>
      <c r="H872" s="8"/>
      <c r="I872" s="9"/>
      <c r="J872" s="9"/>
      <c r="K872" s="1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7"/>
      <c r="B873" s="8"/>
      <c r="C873" s="8"/>
      <c r="D873" s="8"/>
      <c r="E873" s="8"/>
      <c r="F873" s="8"/>
      <c r="G873" s="8"/>
      <c r="H873" s="8"/>
      <c r="I873" s="9"/>
      <c r="J873" s="9"/>
      <c r="K873" s="1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7"/>
      <c r="B874" s="8"/>
      <c r="C874" s="8"/>
      <c r="D874" s="8"/>
      <c r="E874" s="8"/>
      <c r="F874" s="8"/>
      <c r="G874" s="8"/>
      <c r="H874" s="8"/>
      <c r="I874" s="9"/>
      <c r="J874" s="9"/>
      <c r="K874" s="1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7"/>
      <c r="B875" s="8"/>
      <c r="C875" s="8"/>
      <c r="D875" s="8"/>
      <c r="E875" s="8"/>
      <c r="F875" s="8"/>
      <c r="G875" s="8"/>
      <c r="H875" s="8"/>
      <c r="I875" s="9"/>
      <c r="J875" s="9"/>
      <c r="K875" s="1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7"/>
      <c r="B876" s="8"/>
      <c r="C876" s="8"/>
      <c r="D876" s="8"/>
      <c r="E876" s="8"/>
      <c r="F876" s="8"/>
      <c r="G876" s="8"/>
      <c r="H876" s="8"/>
      <c r="I876" s="9"/>
      <c r="J876" s="9"/>
      <c r="K876" s="1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7"/>
      <c r="B877" s="8"/>
      <c r="C877" s="8"/>
      <c r="D877" s="8"/>
      <c r="E877" s="8"/>
      <c r="F877" s="8"/>
      <c r="G877" s="8"/>
      <c r="H877" s="8"/>
      <c r="I877" s="9"/>
      <c r="J877" s="9"/>
      <c r="K877" s="1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7"/>
      <c r="B878" s="8"/>
      <c r="C878" s="8"/>
      <c r="D878" s="8"/>
      <c r="E878" s="8"/>
      <c r="F878" s="8"/>
      <c r="G878" s="8"/>
      <c r="H878" s="8"/>
      <c r="I878" s="9"/>
      <c r="J878" s="9"/>
      <c r="K878" s="1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7"/>
      <c r="B879" s="8"/>
      <c r="C879" s="8"/>
      <c r="D879" s="8"/>
      <c r="E879" s="8"/>
      <c r="F879" s="8"/>
      <c r="G879" s="8"/>
      <c r="H879" s="8"/>
      <c r="I879" s="9"/>
      <c r="J879" s="9"/>
      <c r="K879" s="1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7"/>
      <c r="B880" s="8"/>
      <c r="C880" s="8"/>
      <c r="D880" s="8"/>
      <c r="E880" s="8"/>
      <c r="F880" s="8"/>
      <c r="G880" s="8"/>
      <c r="H880" s="8"/>
      <c r="I880" s="9"/>
      <c r="J880" s="9"/>
      <c r="K880" s="1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7"/>
      <c r="B881" s="8"/>
      <c r="C881" s="8"/>
      <c r="D881" s="8"/>
      <c r="E881" s="8"/>
      <c r="F881" s="8"/>
      <c r="G881" s="8"/>
      <c r="H881" s="8"/>
      <c r="I881" s="9"/>
      <c r="J881" s="9"/>
      <c r="K881" s="1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7"/>
      <c r="B882" s="8"/>
      <c r="C882" s="8"/>
      <c r="D882" s="8"/>
      <c r="E882" s="8"/>
      <c r="F882" s="8"/>
      <c r="G882" s="8"/>
      <c r="H882" s="8"/>
      <c r="I882" s="9"/>
      <c r="J882" s="9"/>
      <c r="K882" s="1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7"/>
      <c r="B883" s="8"/>
      <c r="C883" s="8"/>
      <c r="D883" s="8"/>
      <c r="E883" s="8"/>
      <c r="F883" s="8"/>
      <c r="G883" s="8"/>
      <c r="H883" s="8"/>
      <c r="I883" s="9"/>
      <c r="J883" s="9"/>
      <c r="K883" s="1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7"/>
      <c r="B884" s="8"/>
      <c r="C884" s="8"/>
      <c r="D884" s="8"/>
      <c r="E884" s="8"/>
      <c r="F884" s="8"/>
      <c r="G884" s="8"/>
      <c r="H884" s="8"/>
      <c r="I884" s="9"/>
      <c r="J884" s="9"/>
      <c r="K884" s="1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7"/>
      <c r="B885" s="8"/>
      <c r="C885" s="8"/>
      <c r="D885" s="8"/>
      <c r="E885" s="8"/>
      <c r="F885" s="8"/>
      <c r="G885" s="8"/>
      <c r="H885" s="8"/>
      <c r="I885" s="9"/>
      <c r="J885" s="9"/>
      <c r="K885" s="1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7"/>
      <c r="B886" s="8"/>
      <c r="C886" s="8"/>
      <c r="D886" s="8"/>
      <c r="E886" s="8"/>
      <c r="F886" s="8"/>
      <c r="G886" s="8"/>
      <c r="H886" s="8"/>
      <c r="I886" s="9"/>
      <c r="J886" s="9"/>
      <c r="K886" s="1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7"/>
      <c r="B887" s="8"/>
      <c r="C887" s="8"/>
      <c r="D887" s="8"/>
      <c r="E887" s="8"/>
      <c r="F887" s="8"/>
      <c r="G887" s="8"/>
      <c r="H887" s="8"/>
      <c r="I887" s="9"/>
      <c r="J887" s="9"/>
      <c r="K887" s="1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7"/>
      <c r="B888" s="8"/>
      <c r="C888" s="8"/>
      <c r="D888" s="8"/>
      <c r="E888" s="8"/>
      <c r="F888" s="8"/>
      <c r="G888" s="8"/>
      <c r="H888" s="8"/>
      <c r="I888" s="9"/>
      <c r="J888" s="9"/>
      <c r="K888" s="1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7"/>
      <c r="B889" s="8"/>
      <c r="C889" s="8"/>
      <c r="D889" s="8"/>
      <c r="E889" s="8"/>
      <c r="F889" s="8"/>
      <c r="G889" s="8"/>
      <c r="H889" s="8"/>
      <c r="I889" s="9"/>
      <c r="J889" s="9"/>
      <c r="K889" s="1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7"/>
      <c r="B890" s="8"/>
      <c r="C890" s="8"/>
      <c r="D890" s="8"/>
      <c r="E890" s="8"/>
      <c r="F890" s="8"/>
      <c r="G890" s="8"/>
      <c r="H890" s="8"/>
      <c r="I890" s="9"/>
      <c r="J890" s="9"/>
      <c r="K890" s="1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7"/>
      <c r="B891" s="8"/>
      <c r="C891" s="8"/>
      <c r="D891" s="8"/>
      <c r="E891" s="8"/>
      <c r="F891" s="8"/>
      <c r="G891" s="8"/>
      <c r="H891" s="8"/>
      <c r="I891" s="9"/>
      <c r="J891" s="9"/>
      <c r="K891" s="1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7"/>
      <c r="B892" s="8"/>
      <c r="C892" s="8"/>
      <c r="D892" s="8"/>
      <c r="E892" s="8"/>
      <c r="F892" s="8"/>
      <c r="G892" s="8"/>
      <c r="H892" s="8"/>
      <c r="I892" s="9"/>
      <c r="J892" s="9"/>
      <c r="K892" s="1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7"/>
      <c r="B893" s="8"/>
      <c r="C893" s="8"/>
      <c r="D893" s="8"/>
      <c r="E893" s="8"/>
      <c r="F893" s="8"/>
      <c r="G893" s="8"/>
      <c r="H893" s="8"/>
      <c r="I893" s="9"/>
      <c r="J893" s="9"/>
      <c r="K893" s="1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7"/>
      <c r="B894" s="8"/>
      <c r="C894" s="8"/>
      <c r="D894" s="8"/>
      <c r="E894" s="8"/>
      <c r="F894" s="8"/>
      <c r="G894" s="8"/>
      <c r="H894" s="8"/>
      <c r="I894" s="9"/>
      <c r="J894" s="9"/>
      <c r="K894" s="1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7"/>
      <c r="B895" s="8"/>
      <c r="C895" s="8"/>
      <c r="D895" s="8"/>
      <c r="E895" s="8"/>
      <c r="F895" s="8"/>
      <c r="G895" s="8"/>
      <c r="H895" s="8"/>
      <c r="I895" s="9"/>
      <c r="J895" s="9"/>
      <c r="K895" s="1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7"/>
      <c r="B896" s="8"/>
      <c r="C896" s="8"/>
      <c r="D896" s="8"/>
      <c r="E896" s="8"/>
      <c r="F896" s="8"/>
      <c r="G896" s="8"/>
      <c r="H896" s="8"/>
      <c r="I896" s="9"/>
      <c r="J896" s="9"/>
      <c r="K896" s="1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7"/>
      <c r="B897" s="8"/>
      <c r="C897" s="8"/>
      <c r="D897" s="8"/>
      <c r="E897" s="8"/>
      <c r="F897" s="8"/>
      <c r="G897" s="8"/>
      <c r="H897" s="8"/>
      <c r="I897" s="9"/>
      <c r="J897" s="9"/>
      <c r="K897" s="1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7"/>
      <c r="B898" s="8"/>
      <c r="C898" s="8"/>
      <c r="D898" s="8"/>
      <c r="E898" s="8"/>
      <c r="F898" s="8"/>
      <c r="G898" s="8"/>
      <c r="H898" s="8"/>
      <c r="I898" s="9"/>
      <c r="J898" s="9"/>
      <c r="K898" s="1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7"/>
      <c r="B899" s="8"/>
      <c r="C899" s="8"/>
      <c r="D899" s="8"/>
      <c r="E899" s="8"/>
      <c r="F899" s="8"/>
      <c r="G899" s="8"/>
      <c r="H899" s="8"/>
      <c r="I899" s="9"/>
      <c r="J899" s="9"/>
      <c r="K899" s="1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7"/>
      <c r="B900" s="8"/>
      <c r="C900" s="8"/>
      <c r="D900" s="8"/>
      <c r="E900" s="8"/>
      <c r="F900" s="8"/>
      <c r="G900" s="8"/>
      <c r="H900" s="8"/>
      <c r="I900" s="9"/>
      <c r="J900" s="9"/>
      <c r="K900" s="1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7"/>
      <c r="B901" s="8"/>
      <c r="C901" s="8"/>
      <c r="D901" s="8"/>
      <c r="E901" s="8"/>
      <c r="F901" s="8"/>
      <c r="G901" s="8"/>
      <c r="H901" s="8"/>
      <c r="I901" s="9"/>
      <c r="J901" s="9"/>
      <c r="K901" s="1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7"/>
      <c r="B902" s="8"/>
      <c r="C902" s="8"/>
      <c r="D902" s="8"/>
      <c r="E902" s="8"/>
      <c r="F902" s="8"/>
      <c r="G902" s="8"/>
      <c r="H902" s="8"/>
      <c r="I902" s="9"/>
      <c r="J902" s="9"/>
      <c r="K902" s="1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7"/>
      <c r="B903" s="8"/>
      <c r="C903" s="8"/>
      <c r="D903" s="8"/>
      <c r="E903" s="8"/>
      <c r="F903" s="8"/>
      <c r="G903" s="8"/>
      <c r="H903" s="8"/>
      <c r="I903" s="9"/>
      <c r="J903" s="9"/>
      <c r="K903" s="1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7"/>
      <c r="B904" s="8"/>
      <c r="C904" s="8"/>
      <c r="D904" s="8"/>
      <c r="E904" s="8"/>
      <c r="F904" s="8"/>
      <c r="G904" s="8"/>
      <c r="H904" s="8"/>
      <c r="I904" s="9"/>
      <c r="J904" s="9"/>
      <c r="K904" s="1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7"/>
      <c r="B905" s="8"/>
      <c r="C905" s="8"/>
      <c r="D905" s="8"/>
      <c r="E905" s="8"/>
      <c r="F905" s="8"/>
      <c r="G905" s="8"/>
      <c r="H905" s="8"/>
      <c r="I905" s="9"/>
      <c r="J905" s="9"/>
      <c r="K905" s="1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7"/>
      <c r="B906" s="8"/>
      <c r="C906" s="8"/>
      <c r="D906" s="8"/>
      <c r="E906" s="8"/>
      <c r="F906" s="8"/>
      <c r="G906" s="8"/>
      <c r="H906" s="8"/>
      <c r="I906" s="9"/>
      <c r="J906" s="9"/>
      <c r="K906" s="1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7"/>
      <c r="B907" s="8"/>
      <c r="C907" s="8"/>
      <c r="D907" s="8"/>
      <c r="E907" s="8"/>
      <c r="F907" s="8"/>
      <c r="G907" s="8"/>
      <c r="H907" s="8"/>
      <c r="I907" s="9"/>
      <c r="J907" s="9"/>
      <c r="K907" s="1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7"/>
      <c r="B908" s="8"/>
      <c r="C908" s="8"/>
      <c r="D908" s="8"/>
      <c r="E908" s="8"/>
      <c r="F908" s="8"/>
      <c r="G908" s="8"/>
      <c r="H908" s="8"/>
      <c r="I908" s="9"/>
      <c r="J908" s="9"/>
      <c r="K908" s="1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7"/>
      <c r="B909" s="8"/>
      <c r="C909" s="8"/>
      <c r="D909" s="8"/>
      <c r="E909" s="8"/>
      <c r="F909" s="8"/>
      <c r="G909" s="8"/>
      <c r="H909" s="8"/>
      <c r="I909" s="9"/>
      <c r="J909" s="9"/>
      <c r="K909" s="1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7"/>
      <c r="B910" s="8"/>
      <c r="C910" s="8"/>
      <c r="D910" s="8"/>
      <c r="E910" s="8"/>
      <c r="F910" s="8"/>
      <c r="G910" s="8"/>
      <c r="H910" s="8"/>
      <c r="I910" s="9"/>
      <c r="J910" s="9"/>
      <c r="K910" s="1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7"/>
      <c r="B911" s="8"/>
      <c r="C911" s="8"/>
      <c r="D911" s="8"/>
      <c r="E911" s="8"/>
      <c r="F911" s="8"/>
      <c r="G911" s="8"/>
      <c r="H911" s="8"/>
      <c r="I911" s="9"/>
      <c r="J911" s="9"/>
      <c r="K911" s="1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7"/>
      <c r="B912" s="8"/>
      <c r="C912" s="8"/>
      <c r="D912" s="8"/>
      <c r="E912" s="8"/>
      <c r="F912" s="8"/>
      <c r="G912" s="8"/>
      <c r="H912" s="8"/>
      <c r="I912" s="9"/>
      <c r="J912" s="9"/>
      <c r="K912" s="1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7"/>
      <c r="B913" s="8"/>
      <c r="C913" s="8"/>
      <c r="D913" s="8"/>
      <c r="E913" s="8"/>
      <c r="F913" s="8"/>
      <c r="G913" s="8"/>
      <c r="H913" s="8"/>
      <c r="I913" s="9"/>
      <c r="J913" s="9"/>
      <c r="K913" s="1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7"/>
      <c r="B914" s="8"/>
      <c r="C914" s="8"/>
      <c r="D914" s="8"/>
      <c r="E914" s="8"/>
      <c r="F914" s="8"/>
      <c r="G914" s="8"/>
      <c r="H914" s="8"/>
      <c r="I914" s="9"/>
      <c r="J914" s="9"/>
      <c r="K914" s="1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7"/>
      <c r="B915" s="8"/>
      <c r="C915" s="8"/>
      <c r="D915" s="8"/>
      <c r="E915" s="8"/>
      <c r="F915" s="8"/>
      <c r="G915" s="8"/>
      <c r="H915" s="8"/>
      <c r="I915" s="9"/>
      <c r="J915" s="9"/>
      <c r="K915" s="1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7"/>
      <c r="B916" s="8"/>
      <c r="C916" s="8"/>
      <c r="D916" s="8"/>
      <c r="E916" s="8"/>
      <c r="F916" s="8"/>
      <c r="G916" s="8"/>
      <c r="H916" s="8"/>
      <c r="I916" s="9"/>
      <c r="J916" s="9"/>
      <c r="K916" s="1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7"/>
      <c r="B917" s="8"/>
      <c r="C917" s="8"/>
      <c r="D917" s="8"/>
      <c r="E917" s="8"/>
      <c r="F917" s="8"/>
      <c r="G917" s="8"/>
      <c r="H917" s="8"/>
      <c r="I917" s="9"/>
      <c r="J917" s="9"/>
      <c r="K917" s="1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7"/>
      <c r="B918" s="8"/>
      <c r="C918" s="8"/>
      <c r="D918" s="8"/>
      <c r="E918" s="8"/>
      <c r="F918" s="8"/>
      <c r="G918" s="8"/>
      <c r="H918" s="8"/>
      <c r="I918" s="9"/>
      <c r="J918" s="9"/>
      <c r="K918" s="1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7"/>
      <c r="B919" s="8"/>
      <c r="C919" s="8"/>
      <c r="D919" s="8"/>
      <c r="E919" s="8"/>
      <c r="F919" s="8"/>
      <c r="G919" s="8"/>
      <c r="H919" s="8"/>
      <c r="I919" s="9"/>
      <c r="J919" s="9"/>
      <c r="K919" s="1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7"/>
      <c r="B920" s="8"/>
      <c r="C920" s="8"/>
      <c r="D920" s="8"/>
      <c r="E920" s="8"/>
      <c r="F920" s="8"/>
      <c r="G920" s="8"/>
      <c r="H920" s="8"/>
      <c r="I920" s="9"/>
      <c r="J920" s="9"/>
      <c r="K920" s="1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7"/>
      <c r="B921" s="8"/>
      <c r="C921" s="8"/>
      <c r="D921" s="8"/>
      <c r="E921" s="8"/>
      <c r="F921" s="8"/>
      <c r="G921" s="8"/>
      <c r="H921" s="8"/>
      <c r="I921" s="9"/>
      <c r="J921" s="9"/>
      <c r="K921" s="1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7"/>
      <c r="B922" s="8"/>
      <c r="C922" s="8"/>
      <c r="D922" s="8"/>
      <c r="E922" s="8"/>
      <c r="F922" s="8"/>
      <c r="G922" s="8"/>
      <c r="H922" s="8"/>
      <c r="I922" s="9"/>
      <c r="J922" s="9"/>
      <c r="K922" s="1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7"/>
      <c r="B923" s="8"/>
      <c r="C923" s="8"/>
      <c r="D923" s="8"/>
      <c r="E923" s="8"/>
      <c r="F923" s="8"/>
      <c r="G923" s="8"/>
      <c r="H923" s="8"/>
      <c r="I923" s="9"/>
      <c r="J923" s="9"/>
      <c r="K923" s="1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7"/>
      <c r="B924" s="8"/>
      <c r="C924" s="8"/>
      <c r="D924" s="8"/>
      <c r="E924" s="8"/>
      <c r="F924" s="8"/>
      <c r="G924" s="8"/>
      <c r="H924" s="8"/>
      <c r="I924" s="9"/>
      <c r="J924" s="9"/>
      <c r="K924" s="1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7"/>
      <c r="B925" s="8"/>
      <c r="C925" s="8"/>
      <c r="D925" s="8"/>
      <c r="E925" s="8"/>
      <c r="F925" s="8"/>
      <c r="G925" s="8"/>
      <c r="H925" s="8"/>
      <c r="I925" s="9"/>
      <c r="J925" s="9"/>
      <c r="K925" s="1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7"/>
      <c r="B926" s="8"/>
      <c r="C926" s="8"/>
      <c r="D926" s="8"/>
      <c r="E926" s="8"/>
      <c r="F926" s="8"/>
      <c r="G926" s="8"/>
      <c r="H926" s="8"/>
      <c r="I926" s="9"/>
      <c r="J926" s="9"/>
      <c r="K926" s="1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7"/>
      <c r="B927" s="8"/>
      <c r="C927" s="8"/>
      <c r="D927" s="8"/>
      <c r="E927" s="8"/>
      <c r="F927" s="8"/>
      <c r="G927" s="8"/>
      <c r="H927" s="8"/>
      <c r="I927" s="9"/>
      <c r="J927" s="9"/>
      <c r="K927" s="1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7"/>
      <c r="B928" s="8"/>
      <c r="C928" s="8"/>
      <c r="D928" s="8"/>
      <c r="E928" s="8"/>
      <c r="F928" s="8"/>
      <c r="G928" s="8"/>
      <c r="H928" s="8"/>
      <c r="I928" s="9"/>
      <c r="J928" s="9"/>
      <c r="K928" s="1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7"/>
      <c r="B929" s="8"/>
      <c r="C929" s="8"/>
      <c r="D929" s="8"/>
      <c r="E929" s="8"/>
      <c r="F929" s="8"/>
      <c r="G929" s="8"/>
      <c r="H929" s="8"/>
      <c r="I929" s="9"/>
      <c r="J929" s="9"/>
      <c r="K929" s="1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7"/>
      <c r="B930" s="8"/>
      <c r="C930" s="8"/>
      <c r="D930" s="8"/>
      <c r="E930" s="8"/>
      <c r="F930" s="8"/>
      <c r="G930" s="8"/>
      <c r="H930" s="8"/>
      <c r="I930" s="9"/>
      <c r="J930" s="9"/>
      <c r="K930" s="1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7"/>
      <c r="B931" s="8"/>
      <c r="C931" s="8"/>
      <c r="D931" s="8"/>
      <c r="E931" s="8"/>
      <c r="F931" s="8"/>
      <c r="G931" s="8"/>
      <c r="H931" s="8"/>
      <c r="I931" s="9"/>
      <c r="J931" s="9"/>
      <c r="K931" s="1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7"/>
      <c r="B932" s="8"/>
      <c r="C932" s="8"/>
      <c r="D932" s="8"/>
      <c r="E932" s="8"/>
      <c r="F932" s="8"/>
      <c r="G932" s="8"/>
      <c r="H932" s="8"/>
      <c r="I932" s="9"/>
      <c r="J932" s="9"/>
      <c r="K932" s="1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7"/>
      <c r="B933" s="8"/>
      <c r="C933" s="8"/>
      <c r="D933" s="8"/>
      <c r="E933" s="8"/>
      <c r="F933" s="8"/>
      <c r="G933" s="8"/>
      <c r="H933" s="8"/>
      <c r="I933" s="9"/>
      <c r="J933" s="9"/>
      <c r="K933" s="1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7"/>
      <c r="B934" s="8"/>
      <c r="C934" s="8"/>
      <c r="D934" s="8"/>
      <c r="E934" s="8"/>
      <c r="F934" s="8"/>
      <c r="G934" s="8"/>
      <c r="H934" s="8"/>
      <c r="I934" s="9"/>
      <c r="J934" s="9"/>
      <c r="K934" s="1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7"/>
      <c r="B935" s="8"/>
      <c r="C935" s="8"/>
      <c r="D935" s="8"/>
      <c r="E935" s="8"/>
      <c r="F935" s="8"/>
      <c r="G935" s="8"/>
      <c r="H935" s="8"/>
      <c r="I935" s="9"/>
      <c r="J935" s="9"/>
      <c r="K935" s="1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7"/>
      <c r="B936" s="8"/>
      <c r="C936" s="8"/>
      <c r="D936" s="8"/>
      <c r="E936" s="8"/>
      <c r="F936" s="8"/>
      <c r="G936" s="8"/>
      <c r="H936" s="8"/>
      <c r="I936" s="9"/>
      <c r="J936" s="9"/>
      <c r="K936" s="1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7"/>
      <c r="B937" s="8"/>
      <c r="C937" s="8"/>
      <c r="D937" s="8"/>
      <c r="E937" s="8"/>
      <c r="F937" s="8"/>
      <c r="G937" s="8"/>
      <c r="H937" s="8"/>
      <c r="I937" s="9"/>
      <c r="J937" s="9"/>
      <c r="K937" s="1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7"/>
      <c r="B938" s="8"/>
      <c r="C938" s="8"/>
      <c r="D938" s="8"/>
      <c r="E938" s="8"/>
      <c r="F938" s="8"/>
      <c r="G938" s="8"/>
      <c r="H938" s="8"/>
      <c r="I938" s="9"/>
      <c r="J938" s="9"/>
      <c r="K938" s="1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7"/>
      <c r="B939" s="8"/>
      <c r="C939" s="8"/>
      <c r="D939" s="8"/>
      <c r="E939" s="8"/>
      <c r="F939" s="8"/>
      <c r="G939" s="8"/>
      <c r="H939" s="8"/>
      <c r="I939" s="9"/>
      <c r="J939" s="9"/>
      <c r="K939" s="1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7"/>
      <c r="B940" s="8"/>
      <c r="C940" s="8"/>
      <c r="D940" s="8"/>
      <c r="E940" s="8"/>
      <c r="F940" s="8"/>
      <c r="G940" s="8"/>
      <c r="H940" s="8"/>
      <c r="I940" s="9"/>
      <c r="J940" s="9"/>
      <c r="K940" s="1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7"/>
      <c r="B941" s="8"/>
      <c r="C941" s="8"/>
      <c r="D941" s="8"/>
      <c r="E941" s="8"/>
      <c r="F941" s="8"/>
      <c r="G941" s="8"/>
      <c r="H941" s="8"/>
      <c r="I941" s="9"/>
      <c r="J941" s="9"/>
      <c r="K941" s="1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7"/>
      <c r="B942" s="8"/>
      <c r="C942" s="8"/>
      <c r="D942" s="8"/>
      <c r="E942" s="8"/>
      <c r="F942" s="8"/>
      <c r="G942" s="8"/>
      <c r="H942" s="8"/>
      <c r="I942" s="9"/>
      <c r="J942" s="9"/>
      <c r="K942" s="1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7"/>
      <c r="B943" s="8"/>
      <c r="C943" s="8"/>
      <c r="D943" s="8"/>
      <c r="E943" s="8"/>
      <c r="F943" s="8"/>
      <c r="G943" s="8"/>
      <c r="H943" s="8"/>
      <c r="I943" s="9"/>
      <c r="J943" s="9"/>
      <c r="K943" s="1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7"/>
      <c r="B944" s="8"/>
      <c r="C944" s="8"/>
      <c r="D944" s="8"/>
      <c r="E944" s="8"/>
      <c r="F944" s="8"/>
      <c r="G944" s="8"/>
      <c r="H944" s="8"/>
      <c r="I944" s="9"/>
      <c r="J944" s="9"/>
      <c r="K944" s="1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7"/>
      <c r="B945" s="8"/>
      <c r="C945" s="8"/>
      <c r="D945" s="8"/>
      <c r="E945" s="8"/>
      <c r="F945" s="8"/>
      <c r="G945" s="8"/>
      <c r="H945" s="8"/>
      <c r="I945" s="9"/>
      <c r="J945" s="9"/>
      <c r="K945" s="1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7"/>
      <c r="B946" s="8"/>
      <c r="C946" s="8"/>
      <c r="D946" s="8"/>
      <c r="E946" s="8"/>
      <c r="F946" s="8"/>
      <c r="G946" s="8"/>
      <c r="H946" s="8"/>
      <c r="I946" s="9"/>
      <c r="J946" s="9"/>
      <c r="K946" s="1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7"/>
      <c r="B947" s="8"/>
      <c r="C947" s="8"/>
      <c r="D947" s="8"/>
      <c r="E947" s="8"/>
      <c r="F947" s="8"/>
      <c r="G947" s="8"/>
      <c r="H947" s="8"/>
      <c r="I947" s="9"/>
      <c r="J947" s="9"/>
      <c r="K947" s="1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7"/>
      <c r="B948" s="8"/>
      <c r="C948" s="8"/>
      <c r="D948" s="8"/>
      <c r="E948" s="8"/>
      <c r="F948" s="8"/>
      <c r="G948" s="8"/>
      <c r="H948" s="8"/>
      <c r="I948" s="9"/>
      <c r="J948" s="9"/>
      <c r="K948" s="1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7"/>
      <c r="B949" s="8"/>
      <c r="C949" s="8"/>
      <c r="D949" s="8"/>
      <c r="E949" s="8"/>
      <c r="F949" s="8"/>
      <c r="G949" s="8"/>
      <c r="H949" s="8"/>
      <c r="I949" s="9"/>
      <c r="J949" s="9"/>
      <c r="K949" s="1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7"/>
      <c r="B950" s="8"/>
      <c r="C950" s="8"/>
      <c r="D950" s="8"/>
      <c r="E950" s="8"/>
      <c r="F950" s="8"/>
      <c r="G950" s="8"/>
      <c r="H950" s="8"/>
      <c r="I950" s="9"/>
      <c r="J950" s="9"/>
      <c r="K950" s="1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7"/>
      <c r="B951" s="8"/>
      <c r="C951" s="8"/>
      <c r="D951" s="8"/>
      <c r="E951" s="8"/>
      <c r="F951" s="8"/>
      <c r="G951" s="8"/>
      <c r="H951" s="8"/>
      <c r="I951" s="9"/>
      <c r="J951" s="9"/>
      <c r="K951" s="1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7"/>
      <c r="B952" s="8"/>
      <c r="C952" s="8"/>
      <c r="D952" s="8"/>
      <c r="E952" s="8"/>
      <c r="F952" s="8"/>
      <c r="G952" s="8"/>
      <c r="H952" s="8"/>
      <c r="I952" s="9"/>
      <c r="J952" s="9"/>
      <c r="K952" s="1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7"/>
      <c r="B953" s="8"/>
      <c r="C953" s="8"/>
      <c r="D953" s="8"/>
      <c r="E953" s="8"/>
      <c r="F953" s="8"/>
      <c r="G953" s="8"/>
      <c r="H953" s="8"/>
      <c r="I953" s="9"/>
      <c r="J953" s="9"/>
      <c r="K953" s="1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7"/>
      <c r="B954" s="8"/>
      <c r="C954" s="8"/>
      <c r="D954" s="8"/>
      <c r="E954" s="8"/>
      <c r="F954" s="8"/>
      <c r="G954" s="8"/>
      <c r="H954" s="8"/>
      <c r="I954" s="9"/>
      <c r="J954" s="9"/>
      <c r="K954" s="1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7"/>
      <c r="B955" s="8"/>
      <c r="C955" s="8"/>
      <c r="D955" s="8"/>
      <c r="E955" s="8"/>
      <c r="F955" s="8"/>
      <c r="G955" s="8"/>
      <c r="H955" s="8"/>
      <c r="I955" s="9"/>
      <c r="J955" s="9"/>
      <c r="K955" s="1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7"/>
      <c r="B956" s="8"/>
      <c r="C956" s="8"/>
      <c r="D956" s="8"/>
      <c r="E956" s="8"/>
      <c r="F956" s="8"/>
      <c r="G956" s="8"/>
      <c r="H956" s="8"/>
      <c r="I956" s="9"/>
      <c r="J956" s="9"/>
      <c r="K956" s="1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7"/>
      <c r="B957" s="8"/>
      <c r="C957" s="8"/>
      <c r="D957" s="8"/>
      <c r="E957" s="8"/>
      <c r="F957" s="8"/>
      <c r="G957" s="8"/>
      <c r="H957" s="8"/>
      <c r="I957" s="9"/>
      <c r="J957" s="9"/>
      <c r="K957" s="1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7"/>
      <c r="B958" s="8"/>
      <c r="C958" s="8"/>
      <c r="D958" s="8"/>
      <c r="E958" s="8"/>
      <c r="F958" s="8"/>
      <c r="G958" s="8"/>
      <c r="H958" s="8"/>
      <c r="I958" s="9"/>
      <c r="J958" s="9"/>
      <c r="K958" s="1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7"/>
      <c r="B959" s="8"/>
      <c r="C959" s="8"/>
      <c r="D959" s="8"/>
      <c r="E959" s="8"/>
      <c r="F959" s="8"/>
      <c r="G959" s="8"/>
      <c r="H959" s="8"/>
      <c r="I959" s="9"/>
      <c r="J959" s="9"/>
      <c r="K959" s="1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7"/>
      <c r="B960" s="8"/>
      <c r="C960" s="8"/>
      <c r="D960" s="8"/>
      <c r="E960" s="8"/>
      <c r="F960" s="8"/>
      <c r="G960" s="8"/>
      <c r="H960" s="8"/>
      <c r="I960" s="9"/>
      <c r="J960" s="9"/>
      <c r="K960" s="1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7"/>
      <c r="B961" s="8"/>
      <c r="C961" s="8"/>
      <c r="D961" s="8"/>
      <c r="E961" s="8"/>
      <c r="F961" s="8"/>
      <c r="G961" s="8"/>
      <c r="H961" s="8"/>
      <c r="I961" s="9"/>
      <c r="J961" s="9"/>
      <c r="K961" s="1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7"/>
      <c r="B962" s="8"/>
      <c r="C962" s="8"/>
      <c r="D962" s="8"/>
      <c r="E962" s="8"/>
      <c r="F962" s="8"/>
      <c r="G962" s="8"/>
      <c r="H962" s="8"/>
      <c r="I962" s="9"/>
      <c r="J962" s="9"/>
      <c r="K962" s="1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7"/>
      <c r="B963" s="8"/>
      <c r="C963" s="8"/>
      <c r="D963" s="8"/>
      <c r="E963" s="8"/>
      <c r="F963" s="8"/>
      <c r="G963" s="8"/>
      <c r="H963" s="8"/>
      <c r="I963" s="9"/>
      <c r="J963" s="9"/>
      <c r="K963" s="1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7"/>
      <c r="B964" s="8"/>
      <c r="C964" s="8"/>
      <c r="D964" s="8"/>
      <c r="E964" s="8"/>
      <c r="F964" s="8"/>
      <c r="G964" s="8"/>
      <c r="H964" s="8"/>
      <c r="I964" s="9"/>
      <c r="J964" s="9"/>
      <c r="K964" s="1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7"/>
      <c r="B965" s="8"/>
      <c r="C965" s="8"/>
      <c r="D965" s="8"/>
      <c r="E965" s="8"/>
      <c r="F965" s="8"/>
      <c r="G965" s="8"/>
      <c r="H965" s="8"/>
      <c r="I965" s="9"/>
      <c r="J965" s="9"/>
      <c r="K965" s="1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7"/>
      <c r="B966" s="8"/>
      <c r="C966" s="8"/>
      <c r="D966" s="8"/>
      <c r="E966" s="8"/>
      <c r="F966" s="8"/>
      <c r="G966" s="8"/>
      <c r="H966" s="8"/>
      <c r="I966" s="9"/>
      <c r="J966" s="9"/>
      <c r="K966" s="1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7"/>
      <c r="B967" s="8"/>
      <c r="C967" s="8"/>
      <c r="D967" s="8"/>
      <c r="E967" s="8"/>
      <c r="F967" s="8"/>
      <c r="G967" s="8"/>
      <c r="H967" s="8"/>
      <c r="I967" s="9"/>
      <c r="J967" s="9"/>
      <c r="K967" s="1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7"/>
      <c r="B968" s="8"/>
      <c r="C968" s="8"/>
      <c r="D968" s="8"/>
      <c r="E968" s="8"/>
      <c r="F968" s="8"/>
      <c r="G968" s="8"/>
      <c r="H968" s="8"/>
      <c r="I968" s="9"/>
      <c r="J968" s="9"/>
      <c r="K968" s="1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7"/>
      <c r="B969" s="8"/>
      <c r="C969" s="8"/>
      <c r="D969" s="8"/>
      <c r="E969" s="8"/>
      <c r="F969" s="8"/>
      <c r="G969" s="8"/>
      <c r="H969" s="8"/>
      <c r="I969" s="9"/>
      <c r="J969" s="9"/>
      <c r="K969" s="1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7"/>
      <c r="B970" s="8"/>
      <c r="C970" s="8"/>
      <c r="D970" s="8"/>
      <c r="E970" s="8"/>
      <c r="F970" s="8"/>
      <c r="G970" s="8"/>
      <c r="H970" s="8"/>
      <c r="I970" s="9"/>
      <c r="J970" s="9"/>
      <c r="K970" s="1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7"/>
      <c r="B971" s="8"/>
      <c r="C971" s="8"/>
      <c r="D971" s="8"/>
      <c r="E971" s="8"/>
      <c r="F971" s="8"/>
      <c r="G971" s="8"/>
      <c r="H971" s="8"/>
      <c r="I971" s="9"/>
      <c r="J971" s="9"/>
      <c r="K971" s="1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7"/>
      <c r="B972" s="8"/>
      <c r="C972" s="8"/>
      <c r="D972" s="8"/>
      <c r="E972" s="8"/>
      <c r="F972" s="8"/>
      <c r="G972" s="8"/>
      <c r="H972" s="8"/>
      <c r="I972" s="9"/>
      <c r="J972" s="9"/>
      <c r="K972" s="1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7"/>
      <c r="B973" s="8"/>
      <c r="C973" s="8"/>
      <c r="D973" s="8"/>
      <c r="E973" s="8"/>
      <c r="F973" s="8"/>
      <c r="G973" s="8"/>
      <c r="H973" s="8"/>
      <c r="I973" s="9"/>
      <c r="J973" s="9"/>
      <c r="K973" s="1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7"/>
      <c r="B974" s="8"/>
      <c r="C974" s="8"/>
      <c r="D974" s="8"/>
      <c r="E974" s="8"/>
      <c r="F974" s="8"/>
      <c r="G974" s="8"/>
      <c r="H974" s="8"/>
      <c r="I974" s="9"/>
      <c r="J974" s="9"/>
      <c r="K974" s="1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7"/>
      <c r="B975" s="8"/>
      <c r="C975" s="8"/>
      <c r="D975" s="8"/>
      <c r="E975" s="8"/>
      <c r="F975" s="8"/>
      <c r="G975" s="8"/>
      <c r="H975" s="8"/>
      <c r="I975" s="9"/>
      <c r="J975" s="9"/>
      <c r="K975" s="1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7"/>
      <c r="B976" s="8"/>
      <c r="C976" s="8"/>
      <c r="D976" s="8"/>
      <c r="E976" s="8"/>
      <c r="F976" s="8"/>
      <c r="G976" s="8"/>
      <c r="H976" s="8"/>
      <c r="I976" s="9"/>
      <c r="J976" s="9"/>
      <c r="K976" s="1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7"/>
      <c r="B977" s="8"/>
      <c r="C977" s="8"/>
      <c r="D977" s="8"/>
      <c r="E977" s="8"/>
      <c r="F977" s="8"/>
      <c r="G977" s="8"/>
      <c r="H977" s="8"/>
      <c r="I977" s="9"/>
      <c r="J977" s="9"/>
      <c r="K977" s="1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7"/>
      <c r="B978" s="8"/>
      <c r="C978" s="8"/>
      <c r="D978" s="8"/>
      <c r="E978" s="8"/>
      <c r="F978" s="8"/>
      <c r="G978" s="8"/>
      <c r="H978" s="8"/>
      <c r="I978" s="9"/>
      <c r="J978" s="9"/>
      <c r="K978" s="1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7"/>
      <c r="B979" s="8"/>
      <c r="C979" s="8"/>
      <c r="D979" s="8"/>
      <c r="E979" s="8"/>
      <c r="F979" s="8"/>
      <c r="G979" s="8"/>
      <c r="H979" s="8"/>
      <c r="I979" s="9"/>
      <c r="J979" s="9"/>
      <c r="K979" s="1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7"/>
      <c r="B980" s="8"/>
      <c r="C980" s="8"/>
      <c r="D980" s="8"/>
      <c r="E980" s="8"/>
      <c r="F980" s="8"/>
      <c r="G980" s="8"/>
      <c r="H980" s="8"/>
      <c r="I980" s="9"/>
      <c r="J980" s="9"/>
      <c r="K980" s="1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7"/>
      <c r="B981" s="8"/>
      <c r="C981" s="8"/>
      <c r="D981" s="8"/>
      <c r="E981" s="8"/>
      <c r="F981" s="8"/>
      <c r="G981" s="8"/>
      <c r="H981" s="8"/>
      <c r="I981" s="9"/>
      <c r="J981" s="9"/>
      <c r="K981" s="1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7"/>
      <c r="B982" s="8"/>
      <c r="C982" s="8"/>
      <c r="D982" s="8"/>
      <c r="E982" s="8"/>
      <c r="F982" s="8"/>
      <c r="G982" s="8"/>
      <c r="H982" s="8"/>
      <c r="I982" s="9"/>
      <c r="J982" s="9"/>
      <c r="K982" s="1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7"/>
      <c r="B983" s="8"/>
      <c r="C983" s="8"/>
      <c r="D983" s="8"/>
      <c r="E983" s="8"/>
      <c r="F983" s="8"/>
      <c r="G983" s="8"/>
      <c r="H983" s="8"/>
      <c r="I983" s="9"/>
      <c r="J983" s="9"/>
      <c r="K983" s="1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7"/>
      <c r="B984" s="8"/>
      <c r="C984" s="8"/>
      <c r="D984" s="8"/>
      <c r="E984" s="8"/>
      <c r="F984" s="8"/>
      <c r="G984" s="8"/>
      <c r="H984" s="8"/>
      <c r="I984" s="9"/>
      <c r="J984" s="9"/>
      <c r="K984" s="1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7"/>
      <c r="B985" s="8"/>
      <c r="C985" s="8"/>
      <c r="D985" s="8"/>
      <c r="E985" s="8"/>
      <c r="F985" s="8"/>
      <c r="G985" s="8"/>
      <c r="H985" s="8"/>
      <c r="I985" s="9"/>
      <c r="J985" s="9"/>
      <c r="K985" s="1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7"/>
      <c r="B986" s="8"/>
      <c r="C986" s="8"/>
      <c r="D986" s="8"/>
      <c r="E986" s="8"/>
      <c r="F986" s="8"/>
      <c r="G986" s="8"/>
      <c r="H986" s="8"/>
      <c r="I986" s="9"/>
      <c r="J986" s="9"/>
      <c r="K986" s="1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7"/>
      <c r="B987" s="8"/>
      <c r="C987" s="8"/>
      <c r="D987" s="8"/>
      <c r="E987" s="8"/>
      <c r="F987" s="8"/>
      <c r="G987" s="8"/>
      <c r="H987" s="8"/>
      <c r="I987" s="9"/>
      <c r="J987" s="9"/>
      <c r="K987" s="1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7"/>
      <c r="B988" s="8"/>
      <c r="C988" s="8"/>
      <c r="D988" s="8"/>
      <c r="E988" s="8"/>
      <c r="F988" s="8"/>
      <c r="G988" s="8"/>
      <c r="H988" s="8"/>
      <c r="I988" s="9"/>
      <c r="J988" s="9"/>
      <c r="K988" s="1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7"/>
      <c r="B989" s="8"/>
      <c r="C989" s="8"/>
      <c r="D989" s="8"/>
      <c r="E989" s="8"/>
      <c r="F989" s="8"/>
      <c r="G989" s="8"/>
      <c r="H989" s="8"/>
      <c r="I989" s="9"/>
      <c r="J989" s="9"/>
      <c r="K989" s="1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7"/>
      <c r="B990" s="8"/>
      <c r="C990" s="8"/>
      <c r="D990" s="8"/>
      <c r="E990" s="8"/>
      <c r="F990" s="8"/>
      <c r="G990" s="8"/>
      <c r="H990" s="8"/>
      <c r="I990" s="9"/>
      <c r="J990" s="9"/>
      <c r="K990" s="1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7"/>
      <c r="B991" s="8"/>
      <c r="C991" s="8"/>
      <c r="D991" s="8"/>
      <c r="E991" s="8"/>
      <c r="F991" s="8"/>
      <c r="G991" s="8"/>
      <c r="H991" s="8"/>
      <c r="I991" s="9"/>
      <c r="J991" s="9"/>
      <c r="K991" s="1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7"/>
      <c r="B992" s="8"/>
      <c r="C992" s="8"/>
      <c r="D992" s="8"/>
      <c r="E992" s="8"/>
      <c r="F992" s="8"/>
      <c r="G992" s="8"/>
      <c r="H992" s="8"/>
      <c r="I992" s="9"/>
      <c r="J992" s="9"/>
      <c r="K992" s="1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7"/>
      <c r="B993" s="8"/>
      <c r="C993" s="8"/>
      <c r="D993" s="8"/>
      <c r="E993" s="8"/>
      <c r="F993" s="8"/>
      <c r="G993" s="8"/>
      <c r="H993" s="8"/>
      <c r="I993" s="9"/>
      <c r="J993" s="9"/>
      <c r="K993" s="1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7"/>
      <c r="B994" s="8"/>
      <c r="C994" s="8"/>
      <c r="D994" s="8"/>
      <c r="E994" s="8"/>
      <c r="F994" s="8"/>
      <c r="G994" s="8"/>
      <c r="H994" s="8"/>
      <c r="I994" s="9"/>
      <c r="J994" s="9"/>
      <c r="K994" s="1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7"/>
      <c r="B995" s="8"/>
      <c r="C995" s="8"/>
      <c r="D995" s="8"/>
      <c r="E995" s="8"/>
      <c r="F995" s="8"/>
      <c r="G995" s="8"/>
      <c r="H995" s="8"/>
      <c r="I995" s="9"/>
      <c r="J995" s="9"/>
      <c r="K995" s="1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7"/>
      <c r="B996" s="8"/>
      <c r="C996" s="8"/>
      <c r="D996" s="8"/>
      <c r="E996" s="8"/>
      <c r="F996" s="8"/>
      <c r="G996" s="8"/>
      <c r="H996" s="8"/>
      <c r="I996" s="9"/>
      <c r="J996" s="9"/>
      <c r="K996" s="1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7"/>
      <c r="B997" s="8"/>
      <c r="C997" s="8"/>
      <c r="D997" s="8"/>
      <c r="E997" s="8"/>
      <c r="F997" s="8"/>
      <c r="G997" s="8"/>
      <c r="H997" s="8"/>
      <c r="I997" s="9"/>
      <c r="J997" s="9"/>
      <c r="K997" s="1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7"/>
      <c r="B998" s="8"/>
      <c r="C998" s="8"/>
      <c r="D998" s="8"/>
      <c r="E998" s="8"/>
      <c r="F998" s="8"/>
      <c r="G998" s="8"/>
      <c r="H998" s="8"/>
      <c r="I998" s="9"/>
      <c r="J998" s="9"/>
      <c r="K998" s="1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7"/>
      <c r="B999" s="8"/>
      <c r="C999" s="8"/>
      <c r="D999" s="8"/>
      <c r="E999" s="8"/>
      <c r="F999" s="8"/>
      <c r="G999" s="8"/>
      <c r="H999" s="8"/>
      <c r="I999" s="9"/>
      <c r="J999" s="9"/>
      <c r="K999" s="1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7"/>
      <c r="B1000" s="8"/>
      <c r="C1000" s="8"/>
      <c r="D1000" s="8"/>
      <c r="E1000" s="8"/>
      <c r="F1000" s="8"/>
      <c r="G1000" s="8"/>
      <c r="H1000" s="8"/>
      <c r="I1000" s="9"/>
      <c r="J1000" s="9"/>
      <c r="K1000" s="1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7"/>
      <c r="B1001" s="8"/>
      <c r="C1001" s="8"/>
      <c r="D1001" s="8"/>
      <c r="E1001" s="8"/>
      <c r="F1001" s="8"/>
      <c r="G1001" s="8"/>
      <c r="H1001" s="8"/>
      <c r="I1001" s="9"/>
      <c r="J1001" s="9"/>
      <c r="K1001" s="18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7"/>
      <c r="B1002" s="8"/>
      <c r="C1002" s="8"/>
      <c r="D1002" s="8"/>
      <c r="E1002" s="8"/>
      <c r="F1002" s="8"/>
      <c r="G1002" s="8"/>
      <c r="H1002" s="8"/>
      <c r="I1002" s="9"/>
      <c r="J1002" s="9"/>
      <c r="K1002" s="18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7"/>
      <c r="B1003" s="8"/>
      <c r="C1003" s="8"/>
      <c r="D1003" s="8"/>
      <c r="E1003" s="8"/>
      <c r="F1003" s="8"/>
      <c r="G1003" s="8"/>
      <c r="H1003" s="8"/>
      <c r="I1003" s="9"/>
      <c r="J1003" s="9"/>
      <c r="K1003" s="1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7"/>
      <c r="B1004" s="8"/>
      <c r="C1004" s="8"/>
      <c r="D1004" s="8"/>
      <c r="E1004" s="8"/>
      <c r="F1004" s="8"/>
      <c r="G1004" s="8"/>
      <c r="H1004" s="8"/>
      <c r="I1004" s="9"/>
      <c r="J1004" s="9"/>
      <c r="K1004" s="1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7"/>
      <c r="B1005" s="8"/>
      <c r="C1005" s="8"/>
      <c r="D1005" s="8"/>
      <c r="E1005" s="8"/>
      <c r="F1005" s="8"/>
      <c r="G1005" s="8"/>
      <c r="H1005" s="8"/>
      <c r="I1005" s="9"/>
      <c r="J1005" s="9"/>
      <c r="K1005" s="1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7"/>
      <c r="B1006" s="8"/>
      <c r="C1006" s="8"/>
      <c r="D1006" s="8"/>
      <c r="E1006" s="8"/>
      <c r="F1006" s="8"/>
      <c r="G1006" s="8"/>
      <c r="H1006" s="8"/>
      <c r="I1006" s="9"/>
      <c r="J1006" s="9"/>
      <c r="K1006" s="1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7"/>
      <c r="B1007" s="8"/>
      <c r="C1007" s="8"/>
      <c r="D1007" s="8"/>
      <c r="E1007" s="8"/>
      <c r="F1007" s="8"/>
      <c r="G1007" s="8"/>
      <c r="H1007" s="8"/>
      <c r="I1007" s="9"/>
      <c r="J1007" s="9"/>
      <c r="K1007" s="1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7"/>
      <c r="B1008" s="8"/>
      <c r="C1008" s="8"/>
      <c r="D1008" s="8"/>
      <c r="E1008" s="8"/>
      <c r="F1008" s="8"/>
      <c r="G1008" s="8"/>
      <c r="H1008" s="8"/>
      <c r="I1008" s="9"/>
      <c r="J1008" s="9"/>
      <c r="K1008" s="1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7"/>
      <c r="B1009" s="8"/>
      <c r="C1009" s="8"/>
      <c r="D1009" s="8"/>
      <c r="E1009" s="8"/>
      <c r="F1009" s="8"/>
      <c r="G1009" s="8"/>
      <c r="H1009" s="8"/>
      <c r="I1009" s="9"/>
      <c r="J1009" s="9"/>
      <c r="K1009" s="1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7"/>
      <c r="B1010" s="8"/>
      <c r="C1010" s="8"/>
      <c r="D1010" s="8"/>
      <c r="E1010" s="8"/>
      <c r="F1010" s="8"/>
      <c r="G1010" s="8"/>
      <c r="H1010" s="8"/>
      <c r="I1010" s="9"/>
      <c r="J1010" s="9"/>
      <c r="K1010" s="1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7"/>
      <c r="B1011" s="8"/>
      <c r="C1011" s="8"/>
      <c r="D1011" s="8"/>
      <c r="E1011" s="8"/>
      <c r="F1011" s="8"/>
      <c r="G1011" s="8"/>
      <c r="H1011" s="8"/>
      <c r="I1011" s="9"/>
      <c r="J1011" s="9"/>
      <c r="K1011" s="1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7"/>
      <c r="B1012" s="8"/>
      <c r="C1012" s="8"/>
      <c r="D1012" s="8"/>
      <c r="E1012" s="8"/>
      <c r="F1012" s="8"/>
      <c r="G1012" s="8"/>
      <c r="H1012" s="8"/>
      <c r="I1012" s="9"/>
      <c r="J1012" s="9"/>
      <c r="K1012" s="1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7"/>
      <c r="B1013" s="8"/>
      <c r="C1013" s="8"/>
      <c r="D1013" s="8"/>
      <c r="E1013" s="8"/>
      <c r="F1013" s="8"/>
      <c r="G1013" s="8"/>
      <c r="H1013" s="8"/>
      <c r="I1013" s="9"/>
      <c r="J1013" s="9"/>
      <c r="K1013" s="1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7"/>
      <c r="B1014" s="8"/>
      <c r="C1014" s="8"/>
      <c r="D1014" s="8"/>
      <c r="E1014" s="8"/>
      <c r="F1014" s="8"/>
      <c r="G1014" s="8"/>
      <c r="H1014" s="8"/>
      <c r="I1014" s="9"/>
      <c r="J1014" s="9"/>
      <c r="K1014" s="1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7"/>
      <c r="B1015" s="8"/>
      <c r="C1015" s="8"/>
      <c r="D1015" s="8"/>
      <c r="E1015" s="8"/>
      <c r="F1015" s="8"/>
      <c r="G1015" s="8"/>
      <c r="H1015" s="8"/>
      <c r="I1015" s="9"/>
      <c r="J1015" s="9"/>
      <c r="K1015" s="1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7"/>
      <c r="B1016" s="8"/>
      <c r="C1016" s="8"/>
      <c r="D1016" s="8"/>
      <c r="E1016" s="8"/>
      <c r="F1016" s="8"/>
      <c r="G1016" s="8"/>
      <c r="H1016" s="8"/>
      <c r="I1016" s="9"/>
      <c r="J1016" s="9"/>
      <c r="K1016" s="1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7"/>
      <c r="B1017" s="8"/>
      <c r="C1017" s="8"/>
      <c r="D1017" s="8"/>
      <c r="E1017" s="8"/>
      <c r="F1017" s="8"/>
      <c r="G1017" s="8"/>
      <c r="H1017" s="8"/>
      <c r="I1017" s="9"/>
      <c r="J1017" s="9"/>
      <c r="K1017" s="1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7"/>
      <c r="B1018" s="8"/>
      <c r="C1018" s="8"/>
      <c r="D1018" s="8"/>
      <c r="E1018" s="8"/>
      <c r="F1018" s="8"/>
      <c r="G1018" s="8"/>
      <c r="H1018" s="8"/>
      <c r="I1018" s="9"/>
      <c r="J1018" s="9"/>
      <c r="K1018" s="1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7"/>
      <c r="B1019" s="8"/>
      <c r="C1019" s="8"/>
      <c r="D1019" s="8"/>
      <c r="E1019" s="8"/>
      <c r="F1019" s="8"/>
      <c r="G1019" s="8"/>
      <c r="H1019" s="8"/>
      <c r="I1019" s="9"/>
      <c r="J1019" s="9"/>
      <c r="K1019" s="18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7"/>
      <c r="B1020" s="8"/>
      <c r="C1020" s="8"/>
      <c r="D1020" s="8"/>
      <c r="E1020" s="8"/>
      <c r="F1020" s="8"/>
      <c r="G1020" s="8"/>
      <c r="H1020" s="8"/>
      <c r="I1020" s="9"/>
      <c r="J1020" s="9"/>
      <c r="K1020" s="18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7"/>
      <c r="B1021" s="8"/>
      <c r="C1021" s="8"/>
      <c r="D1021" s="8"/>
      <c r="E1021" s="8"/>
      <c r="F1021" s="8"/>
      <c r="G1021" s="8"/>
      <c r="H1021" s="8"/>
      <c r="I1021" s="9"/>
      <c r="J1021" s="9"/>
      <c r="K1021" s="18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7"/>
      <c r="B1022" s="8"/>
      <c r="C1022" s="8"/>
      <c r="D1022" s="8"/>
      <c r="E1022" s="8"/>
      <c r="F1022" s="8"/>
      <c r="G1022" s="8"/>
      <c r="H1022" s="8"/>
      <c r="I1022" s="9"/>
      <c r="J1022" s="9"/>
      <c r="K1022" s="18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7"/>
      <c r="B1023" s="8"/>
      <c r="C1023" s="8"/>
      <c r="D1023" s="8"/>
      <c r="E1023" s="8"/>
      <c r="F1023" s="8"/>
      <c r="G1023" s="8"/>
      <c r="H1023" s="8"/>
      <c r="I1023" s="9"/>
      <c r="J1023" s="9"/>
      <c r="K1023" s="18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7"/>
      <c r="B1024" s="8"/>
      <c r="C1024" s="8"/>
      <c r="D1024" s="8"/>
      <c r="E1024" s="8"/>
      <c r="F1024" s="8"/>
      <c r="G1024" s="8"/>
      <c r="H1024" s="8"/>
      <c r="I1024" s="9"/>
      <c r="J1024" s="9"/>
      <c r="K1024" s="18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7"/>
      <c r="B1025" s="8"/>
      <c r="C1025" s="8"/>
      <c r="D1025" s="8"/>
      <c r="E1025" s="8"/>
      <c r="F1025" s="8"/>
      <c r="G1025" s="8"/>
      <c r="H1025" s="8"/>
      <c r="I1025" s="9"/>
      <c r="J1025" s="9"/>
      <c r="K1025" s="18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7"/>
      <c r="B1026" s="8"/>
      <c r="C1026" s="8"/>
      <c r="D1026" s="8"/>
      <c r="E1026" s="8"/>
      <c r="F1026" s="8"/>
      <c r="G1026" s="8"/>
      <c r="H1026" s="8"/>
      <c r="I1026" s="9"/>
      <c r="J1026" s="9"/>
      <c r="K1026" s="18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7"/>
      <c r="B1027" s="8"/>
      <c r="C1027" s="8"/>
      <c r="D1027" s="8"/>
      <c r="E1027" s="8"/>
      <c r="F1027" s="8"/>
      <c r="G1027" s="8"/>
      <c r="H1027" s="8"/>
      <c r="I1027" s="9"/>
      <c r="J1027" s="9"/>
      <c r="K1027" s="18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7"/>
      <c r="B1028" s="8"/>
      <c r="C1028" s="8"/>
      <c r="D1028" s="8"/>
      <c r="E1028" s="8"/>
      <c r="F1028" s="8"/>
      <c r="G1028" s="8"/>
      <c r="H1028" s="8"/>
      <c r="I1028" s="9"/>
      <c r="J1028" s="9"/>
      <c r="K1028" s="1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7"/>
      <c r="B1029" s="8"/>
      <c r="C1029" s="8"/>
      <c r="D1029" s="8"/>
      <c r="E1029" s="8"/>
      <c r="F1029" s="8"/>
      <c r="G1029" s="8"/>
      <c r="H1029" s="8"/>
      <c r="I1029" s="9"/>
      <c r="J1029" s="9"/>
      <c r="K1029" s="1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7"/>
      <c r="B1030" s="8"/>
      <c r="C1030" s="8"/>
      <c r="D1030" s="8"/>
      <c r="E1030" s="8"/>
      <c r="F1030" s="8"/>
      <c r="G1030" s="8"/>
      <c r="H1030" s="8"/>
      <c r="I1030" s="9"/>
      <c r="J1030" s="9"/>
      <c r="K1030" s="1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7"/>
      <c r="B1031" s="8"/>
      <c r="C1031" s="8"/>
      <c r="D1031" s="8"/>
      <c r="E1031" s="8"/>
      <c r="F1031" s="8"/>
      <c r="G1031" s="8"/>
      <c r="H1031" s="8"/>
      <c r="I1031" s="9"/>
      <c r="J1031" s="9"/>
      <c r="K1031" s="18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7"/>
      <c r="B1032" s="8"/>
      <c r="C1032" s="8"/>
      <c r="D1032" s="8"/>
      <c r="E1032" s="8"/>
      <c r="F1032" s="8"/>
      <c r="G1032" s="8"/>
      <c r="H1032" s="8"/>
      <c r="I1032" s="9"/>
      <c r="J1032" s="9"/>
      <c r="K1032" s="18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7"/>
      <c r="B1033" s="8"/>
      <c r="C1033" s="8"/>
      <c r="D1033" s="8"/>
      <c r="E1033" s="8"/>
      <c r="F1033" s="8"/>
      <c r="G1033" s="8"/>
      <c r="H1033" s="8"/>
      <c r="I1033" s="9"/>
      <c r="J1033" s="9"/>
      <c r="K1033" s="18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7"/>
      <c r="B1034" s="8"/>
      <c r="C1034" s="8"/>
      <c r="D1034" s="8"/>
      <c r="E1034" s="8"/>
      <c r="F1034" s="8"/>
      <c r="G1034" s="8"/>
      <c r="H1034" s="8"/>
      <c r="I1034" s="9"/>
      <c r="J1034" s="9"/>
      <c r="K1034" s="18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7"/>
      <c r="B1035" s="8"/>
      <c r="C1035" s="8"/>
      <c r="D1035" s="8"/>
      <c r="E1035" s="8"/>
      <c r="F1035" s="8"/>
      <c r="G1035" s="8"/>
      <c r="H1035" s="8"/>
      <c r="I1035" s="9"/>
      <c r="J1035" s="9"/>
      <c r="K1035" s="18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7"/>
      <c r="B1036" s="8"/>
      <c r="C1036" s="8"/>
      <c r="D1036" s="8"/>
      <c r="E1036" s="8"/>
      <c r="F1036" s="8"/>
      <c r="G1036" s="8"/>
      <c r="H1036" s="8"/>
      <c r="I1036" s="9"/>
      <c r="J1036" s="9"/>
      <c r="K1036" s="18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7"/>
      <c r="B1037" s="8"/>
      <c r="C1037" s="8"/>
      <c r="D1037" s="8"/>
      <c r="E1037" s="8"/>
      <c r="F1037" s="8"/>
      <c r="G1037" s="8"/>
      <c r="H1037" s="8"/>
      <c r="I1037" s="9"/>
      <c r="J1037" s="9"/>
      <c r="K1037" s="18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7"/>
      <c r="B1038" s="8"/>
      <c r="C1038" s="8"/>
      <c r="D1038" s="8"/>
      <c r="E1038" s="8"/>
      <c r="F1038" s="8"/>
      <c r="G1038" s="8"/>
      <c r="H1038" s="8"/>
      <c r="I1038" s="9"/>
      <c r="J1038" s="9"/>
      <c r="K1038" s="18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7"/>
      <c r="B1039" s="8"/>
      <c r="C1039" s="8"/>
      <c r="D1039" s="8"/>
      <c r="E1039" s="8"/>
      <c r="F1039" s="8"/>
      <c r="G1039" s="8"/>
      <c r="H1039" s="8"/>
      <c r="I1039" s="9"/>
      <c r="J1039" s="9"/>
      <c r="K1039" s="18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7"/>
      <c r="B1040" s="8"/>
      <c r="C1040" s="8"/>
      <c r="D1040" s="8"/>
      <c r="E1040" s="8"/>
      <c r="F1040" s="8"/>
      <c r="G1040" s="8"/>
      <c r="H1040" s="8"/>
      <c r="I1040" s="9"/>
      <c r="J1040" s="9"/>
      <c r="K1040" s="18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7"/>
      <c r="B1041" s="8"/>
      <c r="C1041" s="8"/>
      <c r="D1041" s="8"/>
      <c r="E1041" s="8"/>
      <c r="F1041" s="8"/>
      <c r="G1041" s="8"/>
      <c r="H1041" s="8"/>
      <c r="I1041" s="9"/>
      <c r="J1041" s="9"/>
      <c r="K1041" s="18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7"/>
      <c r="B1042" s="8"/>
      <c r="C1042" s="8"/>
      <c r="D1042" s="8"/>
      <c r="E1042" s="8"/>
      <c r="F1042" s="8"/>
      <c r="G1042" s="8"/>
      <c r="H1042" s="8"/>
      <c r="I1042" s="9"/>
      <c r="J1042" s="9"/>
      <c r="K1042" s="18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7"/>
      <c r="B1043" s="8"/>
      <c r="C1043" s="8"/>
      <c r="D1043" s="8"/>
      <c r="E1043" s="8"/>
      <c r="F1043" s="8"/>
      <c r="G1043" s="8"/>
      <c r="H1043" s="8"/>
      <c r="I1043" s="9"/>
      <c r="J1043" s="9"/>
      <c r="K1043" s="18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7"/>
      <c r="B1044" s="8"/>
      <c r="C1044" s="8"/>
      <c r="D1044" s="8"/>
      <c r="E1044" s="8"/>
      <c r="F1044" s="8"/>
      <c r="G1044" s="8"/>
      <c r="H1044" s="8"/>
      <c r="I1044" s="9"/>
      <c r="J1044" s="9"/>
      <c r="K1044" s="18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7"/>
      <c r="B1045" s="8"/>
      <c r="C1045" s="8"/>
      <c r="D1045" s="8"/>
      <c r="E1045" s="8"/>
      <c r="F1045" s="8"/>
      <c r="G1045" s="8"/>
      <c r="H1045" s="8"/>
      <c r="I1045" s="9"/>
      <c r="J1045" s="9"/>
      <c r="K1045" s="18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7"/>
      <c r="B1046" s="8"/>
      <c r="C1046" s="8"/>
      <c r="D1046" s="8"/>
      <c r="E1046" s="8"/>
      <c r="F1046" s="8"/>
      <c r="G1046" s="8"/>
      <c r="H1046" s="8"/>
      <c r="I1046" s="9"/>
      <c r="J1046" s="9"/>
      <c r="K1046" s="18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7"/>
      <c r="B1047" s="8"/>
      <c r="C1047" s="8"/>
      <c r="D1047" s="8"/>
      <c r="E1047" s="8"/>
      <c r="F1047" s="8"/>
      <c r="G1047" s="8"/>
      <c r="H1047" s="8"/>
      <c r="I1047" s="9"/>
      <c r="J1047" s="9"/>
      <c r="K1047" s="18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7"/>
      <c r="B1048" s="8"/>
      <c r="C1048" s="8"/>
      <c r="D1048" s="8"/>
      <c r="E1048" s="8"/>
      <c r="F1048" s="8"/>
      <c r="G1048" s="8"/>
      <c r="H1048" s="8"/>
      <c r="I1048" s="9"/>
      <c r="J1048" s="9"/>
      <c r="K1048" s="1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7"/>
      <c r="B1049" s="8"/>
      <c r="C1049" s="8"/>
      <c r="D1049" s="8"/>
      <c r="E1049" s="8"/>
      <c r="F1049" s="8"/>
      <c r="G1049" s="8"/>
      <c r="H1049" s="8"/>
      <c r="I1049" s="9"/>
      <c r="J1049" s="9"/>
      <c r="K1049" s="1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7"/>
      <c r="B1050" s="8"/>
      <c r="C1050" s="8"/>
      <c r="D1050" s="8"/>
      <c r="E1050" s="8"/>
      <c r="F1050" s="8"/>
      <c r="G1050" s="8"/>
      <c r="H1050" s="8"/>
      <c r="I1050" s="9"/>
      <c r="J1050" s="9"/>
      <c r="K1050" s="1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7"/>
      <c r="B1051" s="8"/>
      <c r="C1051" s="8"/>
      <c r="D1051" s="8"/>
      <c r="E1051" s="8"/>
      <c r="F1051" s="8"/>
      <c r="G1051" s="8"/>
      <c r="H1051" s="8"/>
      <c r="I1051" s="9"/>
      <c r="J1051" s="9"/>
      <c r="K1051" s="1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7"/>
      <c r="B1052" s="8"/>
      <c r="C1052" s="8"/>
      <c r="D1052" s="8"/>
      <c r="E1052" s="8"/>
      <c r="F1052" s="8"/>
      <c r="G1052" s="8"/>
      <c r="H1052" s="8"/>
      <c r="I1052" s="9"/>
      <c r="J1052" s="9"/>
      <c r="K1052" s="18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7"/>
      <c r="B1053" s="8"/>
      <c r="C1053" s="8"/>
      <c r="D1053" s="8"/>
      <c r="E1053" s="8"/>
      <c r="F1053" s="8"/>
      <c r="G1053" s="8"/>
      <c r="H1053" s="8"/>
      <c r="I1053" s="9"/>
      <c r="J1053" s="9"/>
      <c r="K1053" s="18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7"/>
      <c r="B1054" s="8"/>
      <c r="C1054" s="8"/>
      <c r="D1054" s="8"/>
      <c r="E1054" s="8"/>
      <c r="F1054" s="8"/>
      <c r="G1054" s="8"/>
      <c r="H1054" s="8"/>
      <c r="I1054" s="9"/>
      <c r="J1054" s="9"/>
      <c r="K1054" s="18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7"/>
      <c r="B1055" s="8"/>
      <c r="C1055" s="8"/>
      <c r="D1055" s="8"/>
      <c r="E1055" s="8"/>
      <c r="F1055" s="8"/>
      <c r="G1055" s="8"/>
      <c r="H1055" s="8"/>
      <c r="I1055" s="9"/>
      <c r="J1055" s="9"/>
      <c r="K1055" s="18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7"/>
      <c r="B1056" s="8"/>
      <c r="C1056" s="8"/>
      <c r="D1056" s="8"/>
      <c r="E1056" s="8"/>
      <c r="F1056" s="8"/>
      <c r="G1056" s="8"/>
      <c r="H1056" s="8"/>
      <c r="I1056" s="9"/>
      <c r="J1056" s="9"/>
      <c r="K1056" s="18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7"/>
      <c r="B1057" s="8"/>
      <c r="C1057" s="8"/>
      <c r="D1057" s="8"/>
      <c r="E1057" s="8"/>
      <c r="F1057" s="8"/>
      <c r="G1057" s="8"/>
      <c r="H1057" s="8"/>
      <c r="I1057" s="9"/>
      <c r="J1057" s="9"/>
      <c r="K1057" s="18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7"/>
      <c r="B1058" s="8"/>
      <c r="C1058" s="8"/>
      <c r="D1058" s="8"/>
      <c r="E1058" s="8"/>
      <c r="F1058" s="8"/>
      <c r="G1058" s="8"/>
      <c r="H1058" s="8"/>
      <c r="I1058" s="9"/>
      <c r="J1058" s="9"/>
      <c r="K1058" s="18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7"/>
      <c r="B1059" s="8"/>
      <c r="C1059" s="8"/>
      <c r="D1059" s="8"/>
      <c r="E1059" s="8"/>
      <c r="F1059" s="8"/>
      <c r="G1059" s="8"/>
      <c r="H1059" s="8"/>
      <c r="I1059" s="9"/>
      <c r="J1059" s="9"/>
      <c r="K1059" s="18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7"/>
      <c r="B1060" s="8"/>
      <c r="C1060" s="8"/>
      <c r="D1060" s="8"/>
      <c r="E1060" s="8"/>
      <c r="F1060" s="8"/>
      <c r="G1060" s="8"/>
      <c r="H1060" s="8"/>
      <c r="I1060" s="9"/>
      <c r="J1060" s="9"/>
      <c r="K1060" s="18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7"/>
      <c r="B1061" s="8"/>
      <c r="C1061" s="8"/>
      <c r="D1061" s="8"/>
      <c r="E1061" s="8"/>
      <c r="F1061" s="8"/>
      <c r="G1061" s="8"/>
      <c r="H1061" s="8"/>
      <c r="I1061" s="9"/>
      <c r="J1061" s="9"/>
      <c r="K1061" s="1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7"/>
      <c r="B1062" s="8"/>
      <c r="C1062" s="8"/>
      <c r="D1062" s="8"/>
      <c r="E1062" s="8"/>
      <c r="F1062" s="8"/>
      <c r="G1062" s="8"/>
      <c r="H1062" s="8"/>
      <c r="I1062" s="9"/>
      <c r="J1062" s="9"/>
      <c r="K1062" s="1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7"/>
      <c r="B1063" s="8"/>
      <c r="C1063" s="8"/>
      <c r="D1063" s="8"/>
      <c r="E1063" s="8"/>
      <c r="F1063" s="8"/>
      <c r="G1063" s="8"/>
      <c r="H1063" s="8"/>
      <c r="I1063" s="9"/>
      <c r="J1063" s="9"/>
      <c r="K1063" s="1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7"/>
      <c r="B1064" s="8"/>
      <c r="C1064" s="8"/>
      <c r="D1064" s="8"/>
      <c r="E1064" s="8"/>
      <c r="F1064" s="8"/>
      <c r="G1064" s="8"/>
      <c r="H1064" s="8"/>
      <c r="I1064" s="9"/>
      <c r="J1064" s="9"/>
      <c r="K1064" s="18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7"/>
      <c r="B1065" s="8"/>
      <c r="C1065" s="8"/>
      <c r="D1065" s="8"/>
      <c r="E1065" s="8"/>
      <c r="F1065" s="8"/>
      <c r="G1065" s="8"/>
      <c r="H1065" s="8"/>
      <c r="I1065" s="9"/>
      <c r="J1065" s="9"/>
      <c r="K1065" s="18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7"/>
      <c r="B1066" s="8"/>
      <c r="C1066" s="8"/>
      <c r="D1066" s="8"/>
      <c r="E1066" s="8"/>
      <c r="F1066" s="8"/>
      <c r="G1066" s="8"/>
      <c r="H1066" s="8"/>
      <c r="I1066" s="9"/>
      <c r="J1066" s="9"/>
      <c r="K1066" s="18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7"/>
      <c r="B1067" s="8"/>
      <c r="C1067" s="8"/>
      <c r="D1067" s="8"/>
      <c r="E1067" s="8"/>
      <c r="F1067" s="8"/>
      <c r="G1067" s="8"/>
      <c r="H1067" s="8"/>
      <c r="I1067" s="9"/>
      <c r="J1067" s="9"/>
      <c r="K1067" s="18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7"/>
      <c r="B1068" s="8"/>
      <c r="C1068" s="8"/>
      <c r="D1068" s="8"/>
      <c r="E1068" s="8"/>
      <c r="F1068" s="8"/>
      <c r="G1068" s="8"/>
      <c r="H1068" s="8"/>
      <c r="I1068" s="9"/>
      <c r="J1068" s="9"/>
      <c r="K1068" s="18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7"/>
      <c r="B1069" s="8"/>
      <c r="C1069" s="8"/>
      <c r="D1069" s="8"/>
      <c r="E1069" s="8"/>
      <c r="F1069" s="8"/>
      <c r="G1069" s="8"/>
      <c r="H1069" s="8"/>
      <c r="I1069" s="9"/>
      <c r="J1069" s="9"/>
      <c r="K1069" s="18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7"/>
      <c r="B1070" s="8"/>
      <c r="C1070" s="8"/>
      <c r="D1070" s="8"/>
      <c r="E1070" s="8"/>
      <c r="F1070" s="8"/>
      <c r="G1070" s="8"/>
      <c r="H1070" s="8"/>
      <c r="I1070" s="9"/>
      <c r="J1070" s="9"/>
      <c r="K1070" s="18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7"/>
      <c r="B1071" s="8"/>
      <c r="C1071" s="8"/>
      <c r="D1071" s="8"/>
      <c r="E1071" s="8"/>
      <c r="F1071" s="8"/>
      <c r="G1071" s="8"/>
      <c r="H1071" s="8"/>
      <c r="I1071" s="9"/>
      <c r="J1071" s="9"/>
      <c r="K1071" s="18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7"/>
      <c r="B1072" s="8"/>
      <c r="C1072" s="8"/>
      <c r="D1072" s="8"/>
      <c r="E1072" s="8"/>
      <c r="F1072" s="8"/>
      <c r="G1072" s="8"/>
      <c r="H1072" s="8"/>
      <c r="I1072" s="9"/>
      <c r="J1072" s="9"/>
      <c r="K1072" s="18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7"/>
      <c r="B1073" s="8"/>
      <c r="C1073" s="8"/>
      <c r="D1073" s="8"/>
      <c r="E1073" s="8"/>
      <c r="F1073" s="8"/>
      <c r="G1073" s="8"/>
      <c r="H1073" s="8"/>
      <c r="I1073" s="9"/>
      <c r="J1073" s="9"/>
      <c r="K1073" s="18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7"/>
      <c r="B1074" s="8"/>
      <c r="C1074" s="8"/>
      <c r="D1074" s="8"/>
      <c r="E1074" s="8"/>
      <c r="F1074" s="8"/>
      <c r="G1074" s="8"/>
      <c r="H1074" s="8"/>
      <c r="I1074" s="9"/>
      <c r="J1074" s="9"/>
      <c r="K1074" s="18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7"/>
      <c r="B1075" s="8"/>
      <c r="C1075" s="8"/>
      <c r="D1075" s="8"/>
      <c r="E1075" s="8"/>
      <c r="F1075" s="8"/>
      <c r="G1075" s="8"/>
      <c r="H1075" s="8"/>
      <c r="I1075" s="9"/>
      <c r="J1075" s="9"/>
      <c r="K1075" s="18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7"/>
      <c r="B1076" s="8"/>
      <c r="C1076" s="8"/>
      <c r="D1076" s="8"/>
      <c r="E1076" s="8"/>
      <c r="F1076" s="8"/>
      <c r="G1076" s="8"/>
      <c r="H1076" s="8"/>
      <c r="I1076" s="9"/>
      <c r="J1076" s="9"/>
      <c r="K1076" s="18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7"/>
      <c r="B1077" s="8"/>
      <c r="C1077" s="8"/>
      <c r="D1077" s="8"/>
      <c r="E1077" s="8"/>
      <c r="F1077" s="8"/>
      <c r="G1077" s="8"/>
      <c r="H1077" s="8"/>
      <c r="I1077" s="9"/>
      <c r="J1077" s="9"/>
      <c r="K1077" s="18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7"/>
      <c r="B1078" s="8"/>
      <c r="C1078" s="8"/>
      <c r="D1078" s="8"/>
      <c r="E1078" s="8"/>
      <c r="F1078" s="8"/>
      <c r="G1078" s="8"/>
      <c r="H1078" s="8"/>
      <c r="I1078" s="9"/>
      <c r="J1078" s="9"/>
      <c r="K1078" s="18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7"/>
      <c r="B1079" s="8"/>
      <c r="C1079" s="8"/>
      <c r="D1079" s="8"/>
      <c r="E1079" s="8"/>
      <c r="F1079" s="8"/>
      <c r="G1079" s="8"/>
      <c r="H1079" s="8"/>
      <c r="I1079" s="9"/>
      <c r="J1079" s="9"/>
      <c r="K1079" s="18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7"/>
      <c r="B1080" s="8"/>
      <c r="C1080" s="8"/>
      <c r="D1080" s="8"/>
      <c r="E1080" s="8"/>
      <c r="F1080" s="8"/>
      <c r="G1080" s="8"/>
      <c r="H1080" s="8"/>
      <c r="I1080" s="9"/>
      <c r="J1080" s="9"/>
      <c r="K1080" s="18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7"/>
      <c r="B1081" s="8"/>
      <c r="C1081" s="8"/>
      <c r="D1081" s="8"/>
      <c r="E1081" s="8"/>
      <c r="F1081" s="8"/>
      <c r="G1081" s="8"/>
      <c r="H1081" s="8"/>
      <c r="I1081" s="9"/>
      <c r="J1081" s="9"/>
      <c r="K1081" s="18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7"/>
      <c r="B1082" s="8"/>
      <c r="C1082" s="8"/>
      <c r="D1082" s="8"/>
      <c r="E1082" s="8"/>
      <c r="F1082" s="8"/>
      <c r="G1082" s="8"/>
      <c r="H1082" s="8"/>
      <c r="I1082" s="9"/>
      <c r="J1082" s="9"/>
      <c r="K1082" s="18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7"/>
      <c r="B1083" s="8"/>
      <c r="C1083" s="8"/>
      <c r="D1083" s="8"/>
      <c r="E1083" s="8"/>
      <c r="F1083" s="8"/>
      <c r="G1083" s="8"/>
      <c r="H1083" s="8"/>
      <c r="I1083" s="9"/>
      <c r="J1083" s="9"/>
      <c r="K1083" s="18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7"/>
      <c r="B1084" s="8"/>
      <c r="C1084" s="8"/>
      <c r="D1084" s="8"/>
      <c r="E1084" s="8"/>
      <c r="F1084" s="8"/>
      <c r="G1084" s="8"/>
      <c r="H1084" s="8"/>
      <c r="I1084" s="9"/>
      <c r="J1084" s="9"/>
      <c r="K1084" s="18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7"/>
      <c r="B1085" s="8"/>
      <c r="C1085" s="8"/>
      <c r="D1085" s="8"/>
      <c r="E1085" s="8"/>
      <c r="F1085" s="8"/>
      <c r="G1085" s="8"/>
      <c r="H1085" s="8"/>
      <c r="I1085" s="9"/>
      <c r="J1085" s="9"/>
      <c r="K1085" s="18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7"/>
      <c r="B1086" s="8"/>
      <c r="C1086" s="8"/>
      <c r="D1086" s="8"/>
      <c r="E1086" s="8"/>
      <c r="F1086" s="8"/>
      <c r="G1086" s="8"/>
      <c r="H1086" s="8"/>
      <c r="I1086" s="9"/>
      <c r="J1086" s="9"/>
      <c r="K1086" s="18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7"/>
      <c r="B1087" s="8"/>
      <c r="C1087" s="8"/>
      <c r="D1087" s="8"/>
      <c r="E1087" s="8"/>
      <c r="F1087" s="8"/>
      <c r="G1087" s="8"/>
      <c r="H1087" s="8"/>
      <c r="I1087" s="9"/>
      <c r="J1087" s="9"/>
      <c r="K1087" s="18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7"/>
      <c r="B1088" s="8"/>
      <c r="C1088" s="8"/>
      <c r="D1088" s="8"/>
      <c r="E1088" s="8"/>
      <c r="F1088" s="8"/>
      <c r="G1088" s="8"/>
      <c r="H1088" s="8"/>
      <c r="I1088" s="9"/>
      <c r="J1088" s="9"/>
      <c r="K1088" s="18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7"/>
      <c r="B1089" s="8"/>
      <c r="C1089" s="8"/>
      <c r="D1089" s="8"/>
      <c r="E1089" s="8"/>
      <c r="F1089" s="8"/>
      <c r="G1089" s="8"/>
      <c r="H1089" s="8"/>
      <c r="I1089" s="9"/>
      <c r="J1089" s="9"/>
      <c r="K1089" s="18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7"/>
      <c r="B1090" s="8"/>
      <c r="C1090" s="8"/>
      <c r="D1090" s="8"/>
      <c r="E1090" s="8"/>
      <c r="F1090" s="8"/>
      <c r="G1090" s="8"/>
      <c r="H1090" s="8"/>
      <c r="I1090" s="9"/>
      <c r="J1090" s="9"/>
      <c r="K1090" s="18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7"/>
      <c r="B1091" s="8"/>
      <c r="C1091" s="8"/>
      <c r="D1091" s="8"/>
      <c r="E1091" s="8"/>
      <c r="F1091" s="8"/>
      <c r="G1091" s="8"/>
      <c r="H1091" s="8"/>
      <c r="I1091" s="9"/>
      <c r="J1091" s="9"/>
      <c r="K1091" s="18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7"/>
      <c r="B1092" s="8"/>
      <c r="C1092" s="8"/>
      <c r="D1092" s="8"/>
      <c r="E1092" s="8"/>
      <c r="F1092" s="8"/>
      <c r="G1092" s="8"/>
      <c r="H1092" s="8"/>
      <c r="I1092" s="9"/>
      <c r="J1092" s="9"/>
      <c r="K1092" s="18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7"/>
      <c r="B1093" s="8"/>
      <c r="C1093" s="8"/>
      <c r="D1093" s="8"/>
      <c r="E1093" s="8"/>
      <c r="F1093" s="8"/>
      <c r="G1093" s="8"/>
      <c r="H1093" s="8"/>
      <c r="I1093" s="9"/>
      <c r="J1093" s="9"/>
      <c r="K1093" s="18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7"/>
      <c r="B1094" s="8"/>
      <c r="C1094" s="8"/>
      <c r="D1094" s="8"/>
      <c r="E1094" s="8"/>
      <c r="F1094" s="8"/>
      <c r="G1094" s="8"/>
      <c r="H1094" s="8"/>
      <c r="I1094" s="9"/>
      <c r="J1094" s="9"/>
      <c r="K1094" s="18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7"/>
      <c r="B1095" s="8"/>
      <c r="C1095" s="8"/>
      <c r="D1095" s="8"/>
      <c r="E1095" s="8"/>
      <c r="F1095" s="8"/>
      <c r="G1095" s="8"/>
      <c r="H1095" s="8"/>
      <c r="I1095" s="9"/>
      <c r="J1095" s="9"/>
      <c r="K1095" s="18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7"/>
      <c r="B1096" s="8"/>
      <c r="C1096" s="8"/>
      <c r="D1096" s="8"/>
      <c r="E1096" s="8"/>
      <c r="F1096" s="8"/>
      <c r="G1096" s="8"/>
      <c r="H1096" s="8"/>
      <c r="I1096" s="9"/>
      <c r="J1096" s="9"/>
      <c r="K1096" s="18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7"/>
      <c r="B1097" s="8"/>
      <c r="C1097" s="8"/>
      <c r="D1097" s="8"/>
      <c r="E1097" s="8"/>
      <c r="F1097" s="8"/>
      <c r="G1097" s="8"/>
      <c r="H1097" s="8"/>
      <c r="I1097" s="9"/>
      <c r="J1097" s="9"/>
      <c r="K1097" s="18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7"/>
      <c r="B1098" s="8"/>
      <c r="C1098" s="8"/>
      <c r="D1098" s="8"/>
      <c r="E1098" s="8"/>
      <c r="F1098" s="8"/>
      <c r="G1098" s="8"/>
      <c r="H1098" s="8"/>
      <c r="I1098" s="9"/>
      <c r="J1098" s="9"/>
      <c r="K1098" s="18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7"/>
      <c r="B1099" s="8"/>
      <c r="C1099" s="8"/>
      <c r="D1099" s="8"/>
      <c r="E1099" s="8"/>
      <c r="F1099" s="8"/>
      <c r="G1099" s="8"/>
      <c r="H1099" s="8"/>
      <c r="I1099" s="9"/>
      <c r="J1099" s="9"/>
      <c r="K1099" s="18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7"/>
      <c r="B1100" s="8"/>
      <c r="C1100" s="8"/>
      <c r="D1100" s="8"/>
      <c r="E1100" s="8"/>
      <c r="F1100" s="8"/>
      <c r="G1100" s="8"/>
      <c r="H1100" s="8"/>
      <c r="I1100" s="9"/>
      <c r="J1100" s="9"/>
      <c r="K1100" s="18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7"/>
      <c r="B1101" s="8"/>
      <c r="C1101" s="8"/>
      <c r="D1101" s="8"/>
      <c r="E1101" s="8"/>
      <c r="F1101" s="8"/>
      <c r="G1101" s="8"/>
      <c r="H1101" s="8"/>
      <c r="I1101" s="9"/>
      <c r="J1101" s="9"/>
      <c r="K1101" s="18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7"/>
      <c r="B1102" s="8"/>
      <c r="C1102" s="8"/>
      <c r="D1102" s="8"/>
      <c r="E1102" s="8"/>
      <c r="F1102" s="8"/>
      <c r="G1102" s="8"/>
      <c r="H1102" s="8"/>
      <c r="I1102" s="9"/>
      <c r="J1102" s="9"/>
      <c r="K1102" s="18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7"/>
      <c r="B1103" s="8"/>
      <c r="C1103" s="8"/>
      <c r="D1103" s="8"/>
      <c r="E1103" s="8"/>
      <c r="F1103" s="8"/>
      <c r="G1103" s="8"/>
      <c r="H1103" s="8"/>
      <c r="I1103" s="9"/>
      <c r="J1103" s="9"/>
      <c r="K1103" s="18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7"/>
      <c r="B1104" s="8"/>
      <c r="C1104" s="8"/>
      <c r="D1104" s="8"/>
      <c r="E1104" s="8"/>
      <c r="F1104" s="8"/>
      <c r="G1104" s="8"/>
      <c r="H1104" s="8"/>
      <c r="I1104" s="9"/>
      <c r="J1104" s="9"/>
      <c r="K1104" s="18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7"/>
      <c r="B1105" s="8"/>
      <c r="C1105" s="8"/>
      <c r="D1105" s="8"/>
      <c r="E1105" s="8"/>
      <c r="F1105" s="8"/>
      <c r="G1105" s="8"/>
      <c r="H1105" s="8"/>
      <c r="I1105" s="9"/>
      <c r="J1105" s="9"/>
      <c r="K1105" s="1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7"/>
      <c r="B1106" s="8"/>
      <c r="C1106" s="8"/>
      <c r="D1106" s="8"/>
      <c r="E1106" s="8"/>
      <c r="F1106" s="8"/>
      <c r="G1106" s="8"/>
      <c r="H1106" s="8"/>
      <c r="I1106" s="9"/>
      <c r="J1106" s="9"/>
      <c r="K1106" s="1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7"/>
      <c r="B1107" s="8"/>
      <c r="C1107" s="8"/>
      <c r="D1107" s="8"/>
      <c r="E1107" s="8"/>
      <c r="F1107" s="8"/>
      <c r="G1107" s="8"/>
      <c r="H1107" s="8"/>
      <c r="I1107" s="9"/>
      <c r="J1107" s="9"/>
      <c r="K1107" s="1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7"/>
      <c r="B1108" s="8"/>
      <c r="C1108" s="8"/>
      <c r="D1108" s="8"/>
      <c r="E1108" s="8"/>
      <c r="F1108" s="8"/>
      <c r="G1108" s="8"/>
      <c r="H1108" s="8"/>
      <c r="I1108" s="9"/>
      <c r="J1108" s="9"/>
      <c r="K1108" s="1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7"/>
      <c r="B1109" s="8"/>
      <c r="C1109" s="8"/>
      <c r="D1109" s="8"/>
      <c r="E1109" s="8"/>
      <c r="F1109" s="8"/>
      <c r="G1109" s="8"/>
      <c r="H1109" s="8"/>
      <c r="I1109" s="9"/>
      <c r="J1109" s="9"/>
      <c r="K1109" s="18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7"/>
      <c r="B1110" s="8"/>
      <c r="C1110" s="8"/>
      <c r="D1110" s="8"/>
      <c r="E1110" s="8"/>
      <c r="F1110" s="8"/>
      <c r="G1110" s="8"/>
      <c r="H1110" s="8"/>
      <c r="I1110" s="9"/>
      <c r="J1110" s="9"/>
      <c r="K1110" s="18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7"/>
      <c r="B1111" s="8"/>
      <c r="C1111" s="8"/>
      <c r="D1111" s="8"/>
      <c r="E1111" s="8"/>
      <c r="F1111" s="8"/>
      <c r="G1111" s="8"/>
      <c r="H1111" s="8"/>
      <c r="I1111" s="9"/>
      <c r="J1111" s="9"/>
      <c r="K1111" s="18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7"/>
      <c r="B1112" s="8"/>
      <c r="C1112" s="8"/>
      <c r="D1112" s="8"/>
      <c r="E1112" s="8"/>
      <c r="F1112" s="8"/>
      <c r="G1112" s="8"/>
      <c r="H1112" s="8"/>
      <c r="I1112" s="9"/>
      <c r="J1112" s="9"/>
      <c r="K1112" s="18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7"/>
      <c r="B1113" s="8"/>
      <c r="C1113" s="8"/>
      <c r="D1113" s="8"/>
      <c r="E1113" s="8"/>
      <c r="F1113" s="8"/>
      <c r="G1113" s="8"/>
      <c r="H1113" s="8"/>
      <c r="I1113" s="9"/>
      <c r="J1113" s="9"/>
      <c r="K1113" s="18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7"/>
      <c r="B1114" s="8"/>
      <c r="C1114" s="8"/>
      <c r="D1114" s="8"/>
      <c r="E1114" s="8"/>
      <c r="F1114" s="8"/>
      <c r="G1114" s="8"/>
      <c r="H1114" s="8"/>
      <c r="I1114" s="9"/>
      <c r="J1114" s="9"/>
      <c r="K1114" s="18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7"/>
      <c r="B1115" s="8"/>
      <c r="C1115" s="8"/>
      <c r="D1115" s="8"/>
      <c r="E1115" s="8"/>
      <c r="F1115" s="8"/>
      <c r="G1115" s="8"/>
      <c r="H1115" s="8"/>
      <c r="I1115" s="9"/>
      <c r="J1115" s="9"/>
      <c r="K1115" s="18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7"/>
      <c r="B1116" s="8"/>
      <c r="C1116" s="8"/>
      <c r="D1116" s="8"/>
      <c r="E1116" s="8"/>
      <c r="F1116" s="8"/>
      <c r="G1116" s="8"/>
      <c r="H1116" s="8"/>
      <c r="I1116" s="9"/>
      <c r="J1116" s="9"/>
      <c r="K1116" s="18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7"/>
      <c r="B1117" s="8"/>
      <c r="C1117" s="8"/>
      <c r="D1117" s="8"/>
      <c r="E1117" s="8"/>
      <c r="F1117" s="8"/>
      <c r="G1117" s="8"/>
      <c r="H1117" s="8"/>
      <c r="I1117" s="9"/>
      <c r="J1117" s="9"/>
      <c r="K1117" s="18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7"/>
      <c r="B1118" s="8"/>
      <c r="C1118" s="8"/>
      <c r="D1118" s="8"/>
      <c r="E1118" s="8"/>
      <c r="F1118" s="8"/>
      <c r="G1118" s="8"/>
      <c r="H1118" s="8"/>
      <c r="I1118" s="9"/>
      <c r="J1118" s="9"/>
      <c r="K1118" s="1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7"/>
      <c r="B1119" s="8"/>
      <c r="C1119" s="8"/>
      <c r="D1119" s="8"/>
      <c r="E1119" s="8"/>
      <c r="F1119" s="8"/>
      <c r="G1119" s="8"/>
      <c r="H1119" s="8"/>
      <c r="I1119" s="9"/>
      <c r="J1119" s="9"/>
      <c r="K1119" s="1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7"/>
      <c r="B1120" s="8"/>
      <c r="C1120" s="8"/>
      <c r="D1120" s="8"/>
      <c r="E1120" s="8"/>
      <c r="F1120" s="8"/>
      <c r="G1120" s="8"/>
      <c r="H1120" s="8"/>
      <c r="I1120" s="9"/>
      <c r="J1120" s="9"/>
      <c r="K1120" s="1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7"/>
      <c r="B1121" s="8"/>
      <c r="C1121" s="8"/>
      <c r="D1121" s="8"/>
      <c r="E1121" s="8"/>
      <c r="F1121" s="8"/>
      <c r="G1121" s="8"/>
      <c r="H1121" s="8"/>
      <c r="I1121" s="9"/>
      <c r="J1121" s="9"/>
      <c r="K1121" s="18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7"/>
      <c r="B1122" s="8"/>
      <c r="C1122" s="8"/>
      <c r="D1122" s="8"/>
      <c r="E1122" s="8"/>
      <c r="F1122" s="8"/>
      <c r="G1122" s="8"/>
      <c r="H1122" s="8"/>
      <c r="I1122" s="9"/>
      <c r="J1122" s="9"/>
      <c r="K1122" s="18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7"/>
      <c r="B1123" s="8"/>
      <c r="C1123" s="8"/>
      <c r="D1123" s="8"/>
      <c r="E1123" s="8"/>
      <c r="F1123" s="8"/>
      <c r="G1123" s="8"/>
      <c r="H1123" s="8"/>
      <c r="I1123" s="9"/>
      <c r="J1123" s="9"/>
      <c r="K1123" s="18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7"/>
      <c r="B1124" s="8"/>
      <c r="C1124" s="8"/>
      <c r="D1124" s="8"/>
      <c r="E1124" s="8"/>
      <c r="F1124" s="8"/>
      <c r="G1124" s="8"/>
      <c r="H1124" s="8"/>
      <c r="I1124" s="9"/>
      <c r="J1124" s="9"/>
      <c r="K1124" s="18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7"/>
      <c r="B1125" s="8"/>
      <c r="C1125" s="8"/>
      <c r="D1125" s="8"/>
      <c r="E1125" s="8"/>
      <c r="F1125" s="8"/>
      <c r="G1125" s="8"/>
      <c r="H1125" s="8"/>
      <c r="I1125" s="9"/>
      <c r="J1125" s="9"/>
      <c r="K1125" s="18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7"/>
      <c r="B1126" s="8"/>
      <c r="C1126" s="8"/>
      <c r="D1126" s="8"/>
      <c r="E1126" s="8"/>
      <c r="F1126" s="8"/>
      <c r="G1126" s="8"/>
      <c r="H1126" s="8"/>
      <c r="I1126" s="9"/>
      <c r="J1126" s="9"/>
      <c r="K1126" s="18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7"/>
      <c r="B1127" s="8"/>
      <c r="C1127" s="8"/>
      <c r="D1127" s="8"/>
      <c r="E1127" s="8"/>
      <c r="F1127" s="8"/>
      <c r="G1127" s="8"/>
      <c r="H1127" s="8"/>
      <c r="I1127" s="9"/>
      <c r="J1127" s="9"/>
      <c r="K1127" s="18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7"/>
      <c r="B1128" s="8"/>
      <c r="C1128" s="8"/>
      <c r="D1128" s="8"/>
      <c r="E1128" s="8"/>
      <c r="F1128" s="8"/>
      <c r="G1128" s="8"/>
      <c r="H1128" s="8"/>
      <c r="I1128" s="9"/>
      <c r="J1128" s="9"/>
      <c r="K1128" s="18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7"/>
      <c r="B1129" s="8"/>
      <c r="C1129" s="8"/>
      <c r="D1129" s="8"/>
      <c r="E1129" s="8"/>
      <c r="F1129" s="8"/>
      <c r="G1129" s="8"/>
      <c r="H1129" s="8"/>
      <c r="I1129" s="9"/>
      <c r="J1129" s="9"/>
      <c r="K1129" s="18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7"/>
      <c r="B1130" s="8"/>
      <c r="C1130" s="8"/>
      <c r="D1130" s="8"/>
      <c r="E1130" s="8"/>
      <c r="F1130" s="8"/>
      <c r="G1130" s="8"/>
      <c r="H1130" s="8"/>
      <c r="I1130" s="9"/>
      <c r="J1130" s="9"/>
      <c r="K1130" s="18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7"/>
      <c r="B1131" s="8"/>
      <c r="C1131" s="8"/>
      <c r="D1131" s="8"/>
      <c r="E1131" s="8"/>
      <c r="F1131" s="8"/>
      <c r="G1131" s="8"/>
      <c r="H1131" s="8"/>
      <c r="I1131" s="9"/>
      <c r="J1131" s="9"/>
      <c r="K1131" s="18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7"/>
      <c r="B1132" s="8"/>
      <c r="C1132" s="8"/>
      <c r="D1132" s="8"/>
      <c r="E1132" s="8"/>
      <c r="F1132" s="8"/>
      <c r="G1132" s="8"/>
      <c r="H1132" s="8"/>
      <c r="I1132" s="9"/>
      <c r="J1132" s="9"/>
      <c r="K1132" s="18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7"/>
      <c r="B1133" s="8"/>
      <c r="C1133" s="8"/>
      <c r="D1133" s="8"/>
      <c r="E1133" s="8"/>
      <c r="F1133" s="8"/>
      <c r="G1133" s="8"/>
      <c r="H1133" s="8"/>
      <c r="I1133" s="9"/>
      <c r="J1133" s="9"/>
      <c r="K1133" s="18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7"/>
      <c r="B1134" s="8"/>
      <c r="C1134" s="8"/>
      <c r="D1134" s="8"/>
      <c r="E1134" s="8"/>
      <c r="F1134" s="8"/>
      <c r="G1134" s="8"/>
      <c r="H1134" s="8"/>
      <c r="I1134" s="9"/>
      <c r="J1134" s="9"/>
      <c r="K1134" s="18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7"/>
      <c r="B1135" s="8"/>
      <c r="C1135" s="8"/>
      <c r="D1135" s="8"/>
      <c r="E1135" s="8"/>
      <c r="F1135" s="8"/>
      <c r="G1135" s="8"/>
      <c r="H1135" s="8"/>
      <c r="I1135" s="9"/>
      <c r="J1135" s="9"/>
      <c r="K1135" s="18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7"/>
      <c r="B1136" s="8"/>
      <c r="C1136" s="8"/>
      <c r="D1136" s="8"/>
      <c r="E1136" s="8"/>
      <c r="F1136" s="8"/>
      <c r="G1136" s="8"/>
      <c r="H1136" s="8"/>
      <c r="I1136" s="9"/>
      <c r="J1136" s="9"/>
      <c r="K1136" s="18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7"/>
      <c r="B1137" s="8"/>
      <c r="C1137" s="8"/>
      <c r="D1137" s="8"/>
      <c r="E1137" s="8"/>
      <c r="F1137" s="8"/>
      <c r="G1137" s="8"/>
      <c r="H1137" s="8"/>
      <c r="I1137" s="9"/>
      <c r="J1137" s="9"/>
      <c r="K1137" s="18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7"/>
      <c r="B1138" s="8"/>
      <c r="C1138" s="8"/>
      <c r="D1138" s="8"/>
      <c r="E1138" s="8"/>
      <c r="F1138" s="8"/>
      <c r="G1138" s="8"/>
      <c r="H1138" s="8"/>
      <c r="I1138" s="9"/>
      <c r="J1138" s="9"/>
      <c r="K1138" s="18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7"/>
      <c r="B1139" s="8"/>
      <c r="C1139" s="8"/>
      <c r="D1139" s="8"/>
      <c r="E1139" s="8"/>
      <c r="F1139" s="8"/>
      <c r="G1139" s="8"/>
      <c r="H1139" s="8"/>
      <c r="I1139" s="9"/>
      <c r="J1139" s="9"/>
      <c r="K1139" s="18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7"/>
      <c r="B1140" s="8"/>
      <c r="C1140" s="8"/>
      <c r="D1140" s="8"/>
      <c r="E1140" s="8"/>
      <c r="F1140" s="8"/>
      <c r="G1140" s="8"/>
      <c r="H1140" s="8"/>
      <c r="I1140" s="9"/>
      <c r="J1140" s="9"/>
      <c r="K1140" s="18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7"/>
      <c r="B1141" s="8"/>
      <c r="C1141" s="8"/>
      <c r="D1141" s="8"/>
      <c r="E1141" s="8"/>
      <c r="F1141" s="8"/>
      <c r="G1141" s="8"/>
      <c r="H1141" s="8"/>
      <c r="I1141" s="9"/>
      <c r="J1141" s="9"/>
      <c r="K1141" s="1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7"/>
      <c r="B1142" s="8"/>
      <c r="C1142" s="8"/>
      <c r="D1142" s="8"/>
      <c r="E1142" s="8"/>
      <c r="F1142" s="8"/>
      <c r="G1142" s="8"/>
      <c r="H1142" s="8"/>
      <c r="I1142" s="9"/>
      <c r="J1142" s="9"/>
      <c r="K1142" s="1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7"/>
      <c r="B1143" s="8"/>
      <c r="C1143" s="8"/>
      <c r="D1143" s="8"/>
      <c r="E1143" s="8"/>
      <c r="F1143" s="8"/>
      <c r="G1143" s="8"/>
      <c r="H1143" s="8"/>
      <c r="I1143" s="9"/>
      <c r="J1143" s="9"/>
      <c r="K1143" s="1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7"/>
      <c r="B1144" s="8"/>
      <c r="C1144" s="8"/>
      <c r="D1144" s="8"/>
      <c r="E1144" s="8"/>
      <c r="F1144" s="8"/>
      <c r="G1144" s="8"/>
      <c r="H1144" s="8"/>
      <c r="I1144" s="9"/>
      <c r="J1144" s="9"/>
      <c r="K1144" s="1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7"/>
      <c r="B1145" s="8"/>
      <c r="C1145" s="8"/>
      <c r="D1145" s="8"/>
      <c r="E1145" s="8"/>
      <c r="F1145" s="8"/>
      <c r="G1145" s="8"/>
      <c r="H1145" s="8"/>
      <c r="I1145" s="9"/>
      <c r="J1145" s="9"/>
      <c r="K1145" s="18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7"/>
      <c r="B1146" s="8"/>
      <c r="C1146" s="8"/>
      <c r="D1146" s="8"/>
      <c r="E1146" s="8"/>
      <c r="F1146" s="8"/>
      <c r="G1146" s="8"/>
      <c r="H1146" s="8"/>
      <c r="I1146" s="9"/>
      <c r="J1146" s="9"/>
      <c r="K1146" s="18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7"/>
      <c r="B1147" s="8"/>
      <c r="C1147" s="8"/>
      <c r="D1147" s="8"/>
      <c r="E1147" s="8"/>
      <c r="F1147" s="8"/>
      <c r="G1147" s="8"/>
      <c r="H1147" s="8"/>
      <c r="I1147" s="9"/>
      <c r="J1147" s="9"/>
      <c r="K1147" s="18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7"/>
      <c r="B1148" s="8"/>
      <c r="C1148" s="8"/>
      <c r="D1148" s="8"/>
      <c r="E1148" s="8"/>
      <c r="F1148" s="8"/>
      <c r="G1148" s="8"/>
      <c r="H1148" s="8"/>
      <c r="I1148" s="9"/>
      <c r="J1148" s="9"/>
      <c r="K1148" s="18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7"/>
      <c r="B1149" s="8"/>
      <c r="C1149" s="8"/>
      <c r="D1149" s="8"/>
      <c r="E1149" s="8"/>
      <c r="F1149" s="8"/>
      <c r="G1149" s="8"/>
      <c r="H1149" s="8"/>
      <c r="I1149" s="9"/>
      <c r="J1149" s="9"/>
      <c r="K1149" s="18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7"/>
      <c r="B1150" s="8"/>
      <c r="C1150" s="8"/>
      <c r="D1150" s="8"/>
      <c r="E1150" s="8"/>
      <c r="F1150" s="8"/>
      <c r="G1150" s="8"/>
      <c r="H1150" s="8"/>
      <c r="I1150" s="9"/>
      <c r="J1150" s="9"/>
      <c r="K1150" s="18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7"/>
      <c r="B1151" s="8"/>
      <c r="C1151" s="8"/>
      <c r="D1151" s="8"/>
      <c r="E1151" s="8"/>
      <c r="F1151" s="8"/>
      <c r="G1151" s="8"/>
      <c r="H1151" s="8"/>
      <c r="I1151" s="9"/>
      <c r="J1151" s="9"/>
      <c r="K1151" s="18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7"/>
      <c r="B1152" s="8"/>
      <c r="C1152" s="8"/>
      <c r="D1152" s="8"/>
      <c r="E1152" s="8"/>
      <c r="F1152" s="8"/>
      <c r="G1152" s="8"/>
      <c r="H1152" s="8"/>
      <c r="I1152" s="9"/>
      <c r="J1152" s="9"/>
      <c r="K1152" s="18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7"/>
      <c r="B1153" s="8"/>
      <c r="C1153" s="8"/>
      <c r="D1153" s="8"/>
      <c r="E1153" s="8"/>
      <c r="F1153" s="8"/>
      <c r="G1153" s="8"/>
      <c r="H1153" s="8"/>
      <c r="I1153" s="9"/>
      <c r="J1153" s="9"/>
      <c r="K1153" s="18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7"/>
      <c r="B1154" s="8"/>
      <c r="C1154" s="8"/>
      <c r="D1154" s="8"/>
      <c r="E1154" s="8"/>
      <c r="F1154" s="8"/>
      <c r="G1154" s="8"/>
      <c r="H1154" s="8"/>
      <c r="I1154" s="9"/>
      <c r="J1154" s="9"/>
      <c r="K1154" s="1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7"/>
      <c r="B1155" s="8"/>
      <c r="C1155" s="8"/>
      <c r="D1155" s="8"/>
      <c r="E1155" s="8"/>
      <c r="F1155" s="8"/>
      <c r="G1155" s="8"/>
      <c r="H1155" s="8"/>
      <c r="I1155" s="9"/>
      <c r="J1155" s="9"/>
      <c r="K1155" s="1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7"/>
      <c r="B1156" s="8"/>
      <c r="C1156" s="8"/>
      <c r="D1156" s="8"/>
      <c r="E1156" s="8"/>
      <c r="F1156" s="8"/>
      <c r="G1156" s="8"/>
      <c r="H1156" s="8"/>
      <c r="I1156" s="9"/>
      <c r="J1156" s="9"/>
      <c r="K1156" s="1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7"/>
      <c r="B1157" s="8"/>
      <c r="C1157" s="8"/>
      <c r="D1157" s="8"/>
      <c r="E1157" s="8"/>
      <c r="F1157" s="8"/>
      <c r="G1157" s="8"/>
      <c r="H1157" s="8"/>
      <c r="I1157" s="9"/>
      <c r="J1157" s="9"/>
      <c r="K1157" s="18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7"/>
      <c r="B1158" s="8"/>
      <c r="C1158" s="8"/>
      <c r="D1158" s="8"/>
      <c r="E1158" s="8"/>
      <c r="F1158" s="8"/>
      <c r="G1158" s="8"/>
      <c r="H1158" s="8"/>
      <c r="I1158" s="9"/>
      <c r="J1158" s="9"/>
      <c r="K1158" s="18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7"/>
      <c r="B1159" s="8"/>
      <c r="C1159" s="8"/>
      <c r="D1159" s="8"/>
      <c r="E1159" s="8"/>
      <c r="F1159" s="8"/>
      <c r="G1159" s="8"/>
      <c r="H1159" s="8"/>
      <c r="I1159" s="9"/>
      <c r="J1159" s="9"/>
      <c r="K1159" s="18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7"/>
      <c r="B1160" s="8"/>
      <c r="C1160" s="8"/>
      <c r="D1160" s="8"/>
      <c r="E1160" s="8"/>
      <c r="F1160" s="8"/>
      <c r="G1160" s="8"/>
      <c r="H1160" s="8"/>
      <c r="I1160" s="9"/>
      <c r="J1160" s="9"/>
      <c r="K1160" s="18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7"/>
      <c r="B1161" s="8"/>
      <c r="C1161" s="8"/>
      <c r="D1161" s="8"/>
      <c r="E1161" s="8"/>
      <c r="F1161" s="8"/>
      <c r="G1161" s="8"/>
      <c r="H1161" s="8"/>
      <c r="I1161" s="9"/>
      <c r="J1161" s="9"/>
      <c r="K1161" s="18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7"/>
      <c r="B1162" s="8"/>
      <c r="C1162" s="8"/>
      <c r="D1162" s="8"/>
      <c r="E1162" s="8"/>
      <c r="F1162" s="8"/>
      <c r="G1162" s="8"/>
      <c r="H1162" s="8"/>
      <c r="I1162" s="9"/>
      <c r="J1162" s="9"/>
      <c r="K1162" s="18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7"/>
      <c r="B1163" s="8"/>
      <c r="C1163" s="8"/>
      <c r="D1163" s="8"/>
      <c r="E1163" s="8"/>
      <c r="F1163" s="8"/>
      <c r="G1163" s="8"/>
      <c r="H1163" s="8"/>
      <c r="I1163" s="9"/>
      <c r="J1163" s="9"/>
      <c r="K1163" s="18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7"/>
      <c r="B1164" s="8"/>
      <c r="C1164" s="8"/>
      <c r="D1164" s="8"/>
      <c r="E1164" s="8"/>
      <c r="F1164" s="8"/>
      <c r="G1164" s="8"/>
      <c r="H1164" s="8"/>
      <c r="I1164" s="9"/>
      <c r="J1164" s="9"/>
      <c r="K1164" s="18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7"/>
      <c r="B1165" s="8"/>
      <c r="C1165" s="8"/>
      <c r="D1165" s="8"/>
      <c r="E1165" s="8"/>
      <c r="F1165" s="8"/>
      <c r="G1165" s="8"/>
      <c r="H1165" s="8"/>
      <c r="I1165" s="9"/>
      <c r="J1165" s="9"/>
      <c r="K1165" s="18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7"/>
      <c r="B1166" s="8"/>
      <c r="C1166" s="8"/>
      <c r="D1166" s="8"/>
      <c r="E1166" s="8"/>
      <c r="F1166" s="8"/>
      <c r="G1166" s="8"/>
      <c r="H1166" s="8"/>
      <c r="I1166" s="9"/>
      <c r="J1166" s="9"/>
      <c r="K1166" s="18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7"/>
      <c r="B1167" s="8"/>
      <c r="C1167" s="8"/>
      <c r="D1167" s="8"/>
      <c r="E1167" s="8"/>
      <c r="F1167" s="8"/>
      <c r="G1167" s="8"/>
      <c r="H1167" s="8"/>
      <c r="I1167" s="9"/>
      <c r="J1167" s="9"/>
      <c r="K1167" s="18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7"/>
      <c r="B1168" s="8"/>
      <c r="C1168" s="8"/>
      <c r="D1168" s="8"/>
      <c r="E1168" s="8"/>
      <c r="F1168" s="8"/>
      <c r="G1168" s="8"/>
      <c r="H1168" s="8"/>
      <c r="I1168" s="9"/>
      <c r="J1168" s="9"/>
      <c r="K1168" s="18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7"/>
      <c r="B1169" s="8"/>
      <c r="C1169" s="8"/>
      <c r="D1169" s="8"/>
      <c r="E1169" s="8"/>
      <c r="F1169" s="8"/>
      <c r="G1169" s="8"/>
      <c r="H1169" s="8"/>
      <c r="I1169" s="9"/>
      <c r="J1169" s="9"/>
      <c r="K1169" s="18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7"/>
      <c r="B1170" s="8"/>
      <c r="C1170" s="8"/>
      <c r="D1170" s="8"/>
      <c r="E1170" s="8"/>
      <c r="F1170" s="8"/>
      <c r="G1170" s="8"/>
      <c r="H1170" s="8"/>
      <c r="I1170" s="9"/>
      <c r="J1170" s="9"/>
      <c r="K1170" s="18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7"/>
      <c r="B1171" s="8"/>
      <c r="C1171" s="8"/>
      <c r="D1171" s="8"/>
      <c r="E1171" s="8"/>
      <c r="F1171" s="8"/>
      <c r="G1171" s="8"/>
      <c r="H1171" s="8"/>
      <c r="I1171" s="9"/>
      <c r="J1171" s="9"/>
      <c r="K1171" s="18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7"/>
      <c r="B1172" s="8"/>
      <c r="C1172" s="8"/>
      <c r="D1172" s="8"/>
      <c r="E1172" s="8"/>
      <c r="F1172" s="8"/>
      <c r="G1172" s="8"/>
      <c r="H1172" s="8"/>
      <c r="I1172" s="9"/>
      <c r="J1172" s="9"/>
      <c r="K1172" s="18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7"/>
      <c r="B1173" s="8"/>
      <c r="C1173" s="8"/>
      <c r="D1173" s="8"/>
      <c r="E1173" s="8"/>
      <c r="F1173" s="8"/>
      <c r="G1173" s="8"/>
      <c r="H1173" s="8"/>
      <c r="I1173" s="9"/>
      <c r="J1173" s="9"/>
      <c r="K1173" s="18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7"/>
      <c r="B1174" s="8"/>
      <c r="C1174" s="8"/>
      <c r="D1174" s="8"/>
      <c r="E1174" s="8"/>
      <c r="F1174" s="8"/>
      <c r="G1174" s="8"/>
      <c r="H1174" s="8"/>
      <c r="I1174" s="9"/>
      <c r="J1174" s="9"/>
      <c r="K1174" s="18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7"/>
      <c r="B1175" s="8"/>
      <c r="C1175" s="8"/>
      <c r="D1175" s="8"/>
      <c r="E1175" s="8"/>
      <c r="F1175" s="8"/>
      <c r="G1175" s="8"/>
      <c r="H1175" s="8"/>
      <c r="I1175" s="9"/>
      <c r="J1175" s="9"/>
      <c r="K1175" s="18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7"/>
      <c r="B1176" s="8"/>
      <c r="C1176" s="8"/>
      <c r="D1176" s="8"/>
      <c r="E1176" s="8"/>
      <c r="F1176" s="8"/>
      <c r="G1176" s="8"/>
      <c r="H1176" s="8"/>
      <c r="I1176" s="9"/>
      <c r="J1176" s="9"/>
      <c r="K1176" s="18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7"/>
      <c r="B1177" s="8"/>
      <c r="C1177" s="8"/>
      <c r="D1177" s="8"/>
      <c r="E1177" s="8"/>
      <c r="F1177" s="8"/>
      <c r="G1177" s="8"/>
      <c r="H1177" s="8"/>
      <c r="I1177" s="9"/>
      <c r="J1177" s="9"/>
      <c r="K1177" s="18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7"/>
      <c r="B1178" s="8"/>
      <c r="C1178" s="8"/>
      <c r="D1178" s="8"/>
      <c r="E1178" s="8"/>
      <c r="F1178" s="8"/>
      <c r="G1178" s="8"/>
      <c r="H1178" s="8"/>
      <c r="I1178" s="9"/>
      <c r="J1178" s="9"/>
      <c r="K1178" s="18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7"/>
      <c r="B1179" s="8"/>
      <c r="C1179" s="8"/>
      <c r="D1179" s="8"/>
      <c r="E1179" s="8"/>
      <c r="F1179" s="8"/>
      <c r="G1179" s="8"/>
      <c r="H1179" s="8"/>
      <c r="I1179" s="9"/>
      <c r="J1179" s="9"/>
      <c r="K1179" s="18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7"/>
      <c r="B1180" s="8"/>
      <c r="C1180" s="8"/>
      <c r="D1180" s="8"/>
      <c r="E1180" s="8"/>
      <c r="F1180" s="8"/>
      <c r="G1180" s="8"/>
      <c r="H1180" s="8"/>
      <c r="I1180" s="9"/>
      <c r="J1180" s="9"/>
      <c r="K1180" s="18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7"/>
      <c r="B1181" s="8"/>
      <c r="C1181" s="8"/>
      <c r="D1181" s="8"/>
      <c r="E1181" s="8"/>
      <c r="F1181" s="8"/>
      <c r="G1181" s="8"/>
      <c r="H1181" s="8"/>
      <c r="I1181" s="9"/>
      <c r="J1181" s="9"/>
      <c r="K1181" s="18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7"/>
      <c r="B1182" s="8"/>
      <c r="C1182" s="8"/>
      <c r="D1182" s="8"/>
      <c r="E1182" s="8"/>
      <c r="F1182" s="8"/>
      <c r="G1182" s="8"/>
      <c r="H1182" s="8"/>
      <c r="I1182" s="9"/>
      <c r="J1182" s="9"/>
      <c r="K1182" s="18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7"/>
      <c r="B1183" s="8"/>
      <c r="C1183" s="8"/>
      <c r="D1183" s="8"/>
      <c r="E1183" s="8"/>
      <c r="F1183" s="8"/>
      <c r="G1183" s="8"/>
      <c r="H1183" s="8"/>
      <c r="I1183" s="9"/>
      <c r="J1183" s="9"/>
      <c r="K1183" s="18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7"/>
      <c r="B1184" s="8"/>
      <c r="C1184" s="8"/>
      <c r="D1184" s="8"/>
      <c r="E1184" s="8"/>
      <c r="F1184" s="8"/>
      <c r="G1184" s="8"/>
      <c r="H1184" s="8"/>
      <c r="I1184" s="9"/>
      <c r="J1184" s="9"/>
      <c r="K1184" s="18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7"/>
      <c r="B1185" s="8"/>
      <c r="C1185" s="8"/>
      <c r="D1185" s="8"/>
      <c r="E1185" s="8"/>
      <c r="F1185" s="8"/>
      <c r="G1185" s="8"/>
      <c r="H1185" s="8"/>
      <c r="I1185" s="9"/>
      <c r="J1185" s="9"/>
      <c r="K1185" s="18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7"/>
      <c r="B1186" s="8"/>
      <c r="C1186" s="8"/>
      <c r="D1186" s="8"/>
      <c r="E1186" s="8"/>
      <c r="F1186" s="8"/>
      <c r="G1186" s="8"/>
      <c r="H1186" s="8"/>
      <c r="I1186" s="9"/>
      <c r="J1186" s="9"/>
      <c r="K1186" s="18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7"/>
      <c r="B1187" s="8"/>
      <c r="C1187" s="8"/>
      <c r="D1187" s="8"/>
      <c r="E1187" s="8"/>
      <c r="F1187" s="8"/>
      <c r="G1187" s="8"/>
      <c r="H1187" s="8"/>
      <c r="I1187" s="9"/>
      <c r="J1187" s="9"/>
      <c r="K1187" s="18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7"/>
      <c r="B1188" s="8"/>
      <c r="C1188" s="8"/>
      <c r="D1188" s="8"/>
      <c r="E1188" s="8"/>
      <c r="F1188" s="8"/>
      <c r="G1188" s="8"/>
      <c r="H1188" s="8"/>
      <c r="I1188" s="9"/>
      <c r="J1188" s="9"/>
      <c r="K1188" s="18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7"/>
      <c r="B1189" s="8"/>
      <c r="C1189" s="8"/>
      <c r="D1189" s="8"/>
      <c r="E1189" s="8"/>
      <c r="F1189" s="8"/>
      <c r="G1189" s="8"/>
      <c r="H1189" s="8"/>
      <c r="I1189" s="9"/>
      <c r="J1189" s="9"/>
      <c r="K1189" s="18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7"/>
      <c r="B1190" s="8"/>
      <c r="C1190" s="8"/>
      <c r="D1190" s="8"/>
      <c r="E1190" s="8"/>
      <c r="F1190" s="8"/>
      <c r="G1190" s="8"/>
      <c r="H1190" s="8"/>
      <c r="I1190" s="9"/>
      <c r="J1190" s="9"/>
      <c r="K1190" s="18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7"/>
      <c r="B1191" s="8"/>
      <c r="C1191" s="8"/>
      <c r="D1191" s="8"/>
      <c r="E1191" s="8"/>
      <c r="F1191" s="19"/>
      <c r="G1191" s="8"/>
      <c r="H1191" s="8"/>
      <c r="I1191" s="9"/>
      <c r="J1191" s="9"/>
      <c r="K1191" s="18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7"/>
      <c r="B1192" s="8"/>
      <c r="C1192" s="8"/>
      <c r="D1192" s="8"/>
      <c r="E1192" s="8"/>
      <c r="F1192" s="8"/>
      <c r="G1192" s="8"/>
      <c r="H1192" s="8"/>
      <c r="I1192" s="9"/>
      <c r="J1192" s="9"/>
      <c r="K1192" s="18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7"/>
      <c r="B1193" s="8"/>
      <c r="C1193" s="8"/>
      <c r="D1193" s="8"/>
      <c r="E1193" s="8"/>
      <c r="F1193" s="8"/>
      <c r="G1193" s="8"/>
      <c r="H1193" s="8"/>
      <c r="I1193" s="9"/>
      <c r="J1193" s="9"/>
      <c r="K1193" s="18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7"/>
      <c r="B1194" s="8"/>
      <c r="C1194" s="8"/>
      <c r="D1194" s="8"/>
      <c r="E1194" s="8"/>
      <c r="F1194" s="8"/>
      <c r="G1194" s="8"/>
      <c r="H1194" s="8"/>
      <c r="I1194" s="9"/>
      <c r="J1194" s="9"/>
      <c r="K1194" s="18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7"/>
      <c r="B1195" s="8"/>
      <c r="C1195" s="8"/>
      <c r="D1195" s="8"/>
      <c r="E1195" s="8"/>
      <c r="F1195" s="8"/>
      <c r="G1195" s="8"/>
      <c r="H1195" s="8"/>
      <c r="I1195" s="9"/>
      <c r="J1195" s="9"/>
      <c r="K1195" s="18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7"/>
      <c r="B1196" s="8"/>
      <c r="C1196" s="8"/>
      <c r="D1196" s="8"/>
      <c r="E1196" s="8"/>
      <c r="F1196" s="8"/>
      <c r="G1196" s="8"/>
      <c r="H1196" s="8"/>
      <c r="I1196" s="9"/>
      <c r="J1196" s="9"/>
      <c r="K1196" s="18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7"/>
      <c r="B1197" s="8"/>
      <c r="C1197" s="8"/>
      <c r="D1197" s="8"/>
      <c r="E1197" s="8"/>
      <c r="F1197" s="8"/>
      <c r="G1197" s="8"/>
      <c r="H1197" s="8"/>
      <c r="I1197" s="9"/>
      <c r="J1197" s="9"/>
      <c r="K1197" s="18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7"/>
      <c r="B1198" s="8"/>
      <c r="C1198" s="8"/>
      <c r="D1198" s="8"/>
      <c r="E1198" s="8"/>
      <c r="F1198" s="8"/>
      <c r="G1198" s="8"/>
      <c r="H1198" s="8"/>
      <c r="I1198" s="9"/>
      <c r="J1198" s="9"/>
      <c r="K1198" s="18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7"/>
      <c r="B1199" s="8"/>
      <c r="C1199" s="8"/>
      <c r="D1199" s="8"/>
      <c r="E1199" s="8"/>
      <c r="F1199" s="8"/>
      <c r="G1199" s="8"/>
      <c r="H1199" s="8"/>
      <c r="I1199" s="9"/>
      <c r="J1199" s="9"/>
      <c r="K1199" s="18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7"/>
      <c r="B1200" s="8"/>
      <c r="C1200" s="8"/>
      <c r="D1200" s="8"/>
      <c r="E1200" s="8"/>
      <c r="F1200" s="8"/>
      <c r="G1200" s="8"/>
      <c r="H1200" s="8"/>
      <c r="I1200" s="9"/>
      <c r="J1200" s="9"/>
      <c r="K1200" s="18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7"/>
      <c r="B1201" s="8"/>
      <c r="C1201" s="8"/>
      <c r="D1201" s="8"/>
      <c r="E1201" s="8"/>
      <c r="F1201" s="8"/>
      <c r="G1201" s="8"/>
      <c r="H1201" s="8"/>
      <c r="I1201" s="9"/>
      <c r="J1201" s="9"/>
      <c r="K1201" s="18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7"/>
      <c r="B1202" s="8"/>
      <c r="C1202" s="8"/>
      <c r="D1202" s="8"/>
      <c r="E1202" s="8"/>
      <c r="F1202" s="8"/>
      <c r="G1202" s="8"/>
      <c r="H1202" s="8"/>
      <c r="I1202" s="9"/>
      <c r="J1202" s="9"/>
      <c r="K1202" s="18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7"/>
      <c r="B1203" s="8"/>
      <c r="C1203" s="8"/>
      <c r="D1203" s="8"/>
      <c r="E1203" s="8"/>
      <c r="F1203" s="8"/>
      <c r="G1203" s="8"/>
      <c r="H1203" s="8"/>
      <c r="I1203" s="9"/>
      <c r="J1203" s="9"/>
      <c r="K1203" s="18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7"/>
      <c r="B1204" s="8"/>
      <c r="C1204" s="8"/>
      <c r="D1204" s="8"/>
      <c r="E1204" s="8"/>
      <c r="F1204" s="8"/>
      <c r="G1204" s="8"/>
      <c r="H1204" s="8"/>
      <c r="I1204" s="9"/>
      <c r="J1204" s="9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7"/>
      <c r="B1205" s="8"/>
      <c r="C1205" s="8"/>
      <c r="D1205" s="8"/>
      <c r="E1205" s="8"/>
      <c r="F1205" s="8"/>
      <c r="G1205" s="8"/>
      <c r="H1205" s="8"/>
      <c r="I1205" s="9"/>
      <c r="J1205" s="9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7"/>
      <c r="B1206" s="8"/>
      <c r="C1206" s="8"/>
      <c r="D1206" s="8"/>
      <c r="E1206" s="8"/>
      <c r="F1206" s="8"/>
      <c r="G1206" s="8"/>
      <c r="H1206" s="8"/>
      <c r="I1206" s="9"/>
      <c r="J1206" s="9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7"/>
      <c r="B1207" s="8"/>
      <c r="C1207" s="8"/>
      <c r="D1207" s="8"/>
      <c r="E1207" s="8"/>
      <c r="F1207" s="8"/>
      <c r="G1207" s="8"/>
      <c r="H1207" s="8"/>
      <c r="I1207" s="9"/>
      <c r="J1207" s="9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7"/>
      <c r="B1208" s="8"/>
      <c r="C1208" s="8"/>
      <c r="D1208" s="8"/>
      <c r="E1208" s="8"/>
      <c r="F1208" s="8"/>
      <c r="G1208" s="8"/>
      <c r="H1208" s="8"/>
      <c r="I1208" s="9"/>
      <c r="J1208" s="9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7"/>
      <c r="B1209" s="8"/>
      <c r="C1209" s="8"/>
      <c r="D1209" s="8"/>
      <c r="E1209" s="8"/>
      <c r="F1209" s="8"/>
      <c r="G1209" s="8"/>
      <c r="H1209" s="8"/>
      <c r="I1209" s="9"/>
      <c r="J1209" s="9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7"/>
      <c r="B1210" s="8"/>
      <c r="C1210" s="8"/>
      <c r="D1210" s="8"/>
      <c r="E1210" s="8"/>
      <c r="F1210" s="8"/>
      <c r="G1210" s="8"/>
      <c r="H1210" s="8"/>
      <c r="I1210" s="9"/>
      <c r="J1210" s="9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7"/>
      <c r="B1211" s="8"/>
      <c r="C1211" s="8"/>
      <c r="D1211" s="8"/>
      <c r="E1211" s="8"/>
      <c r="F1211" s="8"/>
      <c r="G1211" s="8"/>
      <c r="H1211" s="8"/>
      <c r="I1211" s="9"/>
      <c r="J1211" s="9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7"/>
      <c r="B1212" s="8"/>
      <c r="C1212" s="8"/>
      <c r="D1212" s="8"/>
      <c r="E1212" s="8"/>
      <c r="F1212" s="8"/>
      <c r="G1212" s="8"/>
      <c r="H1212" s="8"/>
      <c r="I1212" s="9"/>
      <c r="J1212" s="9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7"/>
      <c r="B1213" s="8"/>
      <c r="C1213" s="8"/>
      <c r="D1213" s="8"/>
      <c r="E1213" s="8"/>
      <c r="F1213" s="8"/>
      <c r="G1213" s="8"/>
      <c r="H1213" s="8"/>
      <c r="I1213" s="9"/>
      <c r="J1213" s="9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7"/>
      <c r="B1214" s="8"/>
      <c r="C1214" s="8"/>
      <c r="D1214" s="8"/>
      <c r="E1214" s="8"/>
      <c r="F1214" s="8"/>
      <c r="G1214" s="8"/>
      <c r="H1214" s="8"/>
      <c r="I1214" s="9"/>
      <c r="J1214" s="9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7"/>
      <c r="B1215" s="8"/>
      <c r="C1215" s="8"/>
      <c r="D1215" s="8"/>
      <c r="E1215" s="8"/>
      <c r="F1215" s="8"/>
      <c r="G1215" s="8"/>
      <c r="H1215" s="8"/>
      <c r="I1215" s="9"/>
      <c r="J1215" s="9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7"/>
      <c r="B1216" s="8"/>
      <c r="C1216" s="8"/>
      <c r="D1216" s="8"/>
      <c r="E1216" s="8"/>
      <c r="F1216" s="8"/>
      <c r="G1216" s="8"/>
      <c r="H1216" s="8"/>
      <c r="I1216" s="9"/>
      <c r="J1216" s="9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7"/>
      <c r="B1217" s="8"/>
      <c r="C1217" s="8"/>
      <c r="D1217" s="8"/>
      <c r="E1217" s="8"/>
      <c r="F1217" s="8"/>
      <c r="G1217" s="8"/>
      <c r="H1217" s="8"/>
      <c r="I1217" s="9"/>
      <c r="J1217" s="9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7"/>
      <c r="B1218" s="8"/>
      <c r="C1218" s="8"/>
      <c r="D1218" s="8"/>
      <c r="E1218" s="8"/>
      <c r="F1218" s="8"/>
      <c r="G1218" s="8"/>
      <c r="H1218" s="8"/>
      <c r="I1218" s="9"/>
      <c r="J1218" s="9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7"/>
      <c r="B1219" s="8"/>
      <c r="C1219" s="8"/>
      <c r="D1219" s="8"/>
      <c r="E1219" s="8"/>
      <c r="F1219" s="8"/>
      <c r="G1219" s="8"/>
      <c r="H1219" s="8"/>
      <c r="I1219" s="9"/>
      <c r="J1219" s="9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7"/>
      <c r="B1220" s="8"/>
      <c r="C1220" s="8"/>
      <c r="D1220" s="8"/>
      <c r="E1220" s="8"/>
      <c r="F1220" s="8"/>
      <c r="G1220" s="8"/>
      <c r="H1220" s="8"/>
      <c r="I1220" s="9"/>
      <c r="J1220" s="9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7"/>
      <c r="B1221" s="8"/>
      <c r="C1221" s="8"/>
      <c r="D1221" s="8"/>
      <c r="E1221" s="8"/>
      <c r="F1221" s="8"/>
      <c r="G1221" s="8"/>
      <c r="H1221" s="8"/>
      <c r="I1221" s="9"/>
      <c r="J1221" s="9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7"/>
      <c r="B1222" s="8"/>
      <c r="C1222" s="8"/>
      <c r="D1222" s="8"/>
      <c r="E1222" s="8"/>
      <c r="F1222" s="8"/>
      <c r="G1222" s="8"/>
      <c r="H1222" s="8"/>
      <c r="I1222" s="9"/>
      <c r="J1222" s="9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7"/>
      <c r="B1223" s="8"/>
      <c r="C1223" s="8"/>
      <c r="D1223" s="8"/>
      <c r="E1223" s="8"/>
      <c r="F1223" s="8"/>
      <c r="G1223" s="8"/>
      <c r="H1223" s="8"/>
      <c r="I1223" s="9"/>
      <c r="J1223" s="9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7"/>
      <c r="B1224" s="8"/>
      <c r="C1224" s="8"/>
      <c r="D1224" s="8"/>
      <c r="E1224" s="8"/>
      <c r="F1224" s="8"/>
      <c r="G1224" s="8"/>
      <c r="H1224" s="8"/>
      <c r="I1224" s="9"/>
      <c r="J1224" s="9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7"/>
      <c r="B1225" s="8"/>
      <c r="C1225" s="8"/>
      <c r="D1225" s="8"/>
      <c r="E1225" s="8"/>
      <c r="F1225" s="8"/>
      <c r="G1225" s="8"/>
      <c r="H1225" s="8"/>
      <c r="I1225" s="9"/>
      <c r="J1225" s="9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7"/>
      <c r="B1226" s="8"/>
      <c r="C1226" s="8"/>
      <c r="D1226" s="8"/>
      <c r="E1226" s="8"/>
      <c r="F1226" s="8"/>
      <c r="G1226" s="8"/>
      <c r="H1226" s="8"/>
      <c r="I1226" s="9"/>
      <c r="J1226" s="9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7"/>
      <c r="B1227" s="8"/>
      <c r="C1227" s="8"/>
      <c r="D1227" s="8"/>
      <c r="E1227" s="8"/>
      <c r="F1227" s="8"/>
      <c r="G1227" s="8"/>
      <c r="H1227" s="8"/>
      <c r="I1227" s="9"/>
      <c r="J1227" s="9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7"/>
      <c r="B1228" s="8"/>
      <c r="C1228" s="8"/>
      <c r="D1228" s="8"/>
      <c r="E1228" s="8"/>
      <c r="F1228" s="8"/>
      <c r="G1228" s="8"/>
      <c r="H1228" s="8"/>
      <c r="I1228" s="9"/>
      <c r="J1228" s="9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7"/>
      <c r="B1229" s="8"/>
      <c r="C1229" s="8"/>
      <c r="D1229" s="8"/>
      <c r="E1229" s="8"/>
      <c r="F1229" s="8"/>
      <c r="G1229" s="8"/>
      <c r="H1229" s="8"/>
      <c r="I1229" s="9"/>
      <c r="J1229" s="9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7"/>
      <c r="B1230" s="8"/>
      <c r="C1230" s="8"/>
      <c r="D1230" s="8"/>
      <c r="E1230" s="8"/>
      <c r="F1230" s="8"/>
      <c r="G1230" s="8"/>
      <c r="H1230" s="8"/>
      <c r="I1230" s="9"/>
      <c r="J1230" s="9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7"/>
      <c r="B1231" s="8"/>
      <c r="C1231" s="8"/>
      <c r="D1231" s="8"/>
      <c r="E1231" s="8"/>
      <c r="F1231" s="8"/>
      <c r="G1231" s="8"/>
      <c r="H1231" s="8"/>
      <c r="I1231" s="9"/>
      <c r="J1231" s="9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7"/>
      <c r="B1232" s="8"/>
      <c r="C1232" s="8"/>
      <c r="D1232" s="8"/>
      <c r="E1232" s="8"/>
      <c r="F1232" s="8"/>
      <c r="G1232" s="8"/>
      <c r="H1232" s="8"/>
      <c r="I1232" s="9"/>
      <c r="J1232" s="9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7"/>
      <c r="B1233" s="8"/>
      <c r="C1233" s="8"/>
      <c r="D1233" s="8"/>
      <c r="E1233" s="8"/>
      <c r="F1233" s="8"/>
      <c r="G1233" s="8"/>
      <c r="H1233" s="8"/>
      <c r="I1233" s="9"/>
      <c r="J1233" s="9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7"/>
      <c r="B1234" s="8"/>
      <c r="C1234" s="8"/>
      <c r="D1234" s="8"/>
      <c r="E1234" s="8"/>
      <c r="F1234" s="8"/>
      <c r="G1234" s="8"/>
      <c r="H1234" s="8"/>
      <c r="I1234" s="9"/>
      <c r="J1234" s="9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7"/>
      <c r="B1235" s="8"/>
      <c r="C1235" s="8"/>
      <c r="D1235" s="8"/>
      <c r="E1235" s="8"/>
      <c r="F1235" s="8"/>
      <c r="G1235" s="8"/>
      <c r="H1235" s="8"/>
      <c r="I1235" s="9"/>
      <c r="J1235" s="9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7"/>
      <c r="B1236" s="8"/>
      <c r="C1236" s="8"/>
      <c r="D1236" s="8"/>
      <c r="E1236" s="8"/>
      <c r="F1236" s="8"/>
      <c r="G1236" s="8"/>
      <c r="H1236" s="8"/>
      <c r="I1236" s="9"/>
      <c r="J1236" s="9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7"/>
      <c r="B1237" s="8"/>
      <c r="C1237" s="8"/>
      <c r="D1237" s="8"/>
      <c r="E1237" s="8"/>
      <c r="F1237" s="8"/>
      <c r="G1237" s="8"/>
      <c r="H1237" s="8"/>
      <c r="I1237" s="9"/>
      <c r="J1237" s="9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7"/>
      <c r="B1238" s="8"/>
      <c r="C1238" s="8"/>
      <c r="D1238" s="8"/>
      <c r="E1238" s="8"/>
      <c r="F1238" s="8"/>
      <c r="G1238" s="8"/>
      <c r="H1238" s="8"/>
      <c r="I1238" s="9"/>
      <c r="J1238" s="9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7"/>
      <c r="B1239" s="8"/>
      <c r="C1239" s="8"/>
      <c r="D1239" s="8"/>
      <c r="E1239" s="8"/>
      <c r="F1239" s="8"/>
      <c r="G1239" s="8"/>
      <c r="H1239" s="8"/>
      <c r="I1239" s="9"/>
      <c r="J1239" s="9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7"/>
      <c r="B1240" s="8"/>
      <c r="C1240" s="8"/>
      <c r="D1240" s="8"/>
      <c r="E1240" s="8"/>
      <c r="F1240" s="8"/>
      <c r="G1240" s="8"/>
      <c r="H1240" s="8"/>
      <c r="I1240" s="9"/>
      <c r="J1240" s="9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7"/>
      <c r="B1241" s="8"/>
      <c r="C1241" s="8"/>
      <c r="D1241" s="8"/>
      <c r="E1241" s="8"/>
      <c r="F1241" s="8"/>
      <c r="G1241" s="8"/>
      <c r="H1241" s="8"/>
      <c r="I1241" s="9"/>
      <c r="J1241" s="9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7"/>
      <c r="B1242" s="8"/>
      <c r="C1242" s="8"/>
      <c r="D1242" s="8"/>
      <c r="E1242" s="8"/>
      <c r="F1242" s="8"/>
      <c r="G1242" s="8"/>
      <c r="H1242" s="8"/>
      <c r="I1242" s="9"/>
      <c r="J1242" s="9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7"/>
      <c r="B1243" s="8"/>
      <c r="C1243" s="8"/>
      <c r="D1243" s="8"/>
      <c r="E1243" s="8"/>
      <c r="F1243" s="8"/>
      <c r="G1243" s="8"/>
      <c r="H1243" s="8"/>
      <c r="I1243" s="9"/>
      <c r="J1243" s="9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7"/>
      <c r="B1244" s="8"/>
      <c r="C1244" s="8"/>
      <c r="D1244" s="8"/>
      <c r="E1244" s="8"/>
      <c r="F1244" s="8"/>
      <c r="G1244" s="8"/>
      <c r="H1244" s="8"/>
      <c r="I1244" s="9"/>
      <c r="J1244" s="9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7"/>
      <c r="B1245" s="8"/>
      <c r="C1245" s="8"/>
      <c r="D1245" s="8"/>
      <c r="E1245" s="8"/>
      <c r="F1245" s="8"/>
      <c r="G1245" s="8"/>
      <c r="H1245" s="8"/>
      <c r="I1245" s="9"/>
      <c r="J1245" s="9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7"/>
      <c r="B1246" s="8"/>
      <c r="C1246" s="8"/>
      <c r="D1246" s="8"/>
      <c r="E1246" s="8"/>
      <c r="F1246" s="8"/>
      <c r="G1246" s="8"/>
      <c r="H1246" s="8"/>
      <c r="I1246" s="9"/>
      <c r="J1246" s="9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7"/>
      <c r="B1247" s="8"/>
      <c r="C1247" s="8"/>
      <c r="D1247" s="8"/>
      <c r="E1247" s="8"/>
      <c r="F1247" s="8"/>
      <c r="G1247" s="8"/>
      <c r="H1247" s="8"/>
      <c r="I1247" s="9"/>
      <c r="J1247" s="9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7"/>
      <c r="B1248" s="8"/>
      <c r="C1248" s="8"/>
      <c r="D1248" s="8"/>
      <c r="E1248" s="8"/>
      <c r="F1248" s="8"/>
      <c r="G1248" s="8"/>
      <c r="H1248" s="8"/>
      <c r="I1248" s="9"/>
      <c r="J1248" s="9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7"/>
      <c r="B1249" s="8"/>
      <c r="C1249" s="8"/>
      <c r="D1249" s="8"/>
      <c r="E1249" s="8"/>
      <c r="F1249" s="8"/>
      <c r="G1249" s="8"/>
      <c r="H1249" s="8"/>
      <c r="I1249" s="9"/>
      <c r="J1249" s="9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7"/>
      <c r="B1250" s="8"/>
      <c r="C1250" s="8"/>
      <c r="D1250" s="8"/>
      <c r="E1250" s="8"/>
      <c r="F1250" s="8"/>
      <c r="G1250" s="8"/>
      <c r="H1250" s="8"/>
      <c r="I1250" s="9"/>
      <c r="J1250" s="9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7"/>
      <c r="B1251" s="8"/>
      <c r="C1251" s="8"/>
      <c r="D1251" s="8"/>
      <c r="E1251" s="8"/>
      <c r="F1251" s="8"/>
      <c r="G1251" s="8"/>
      <c r="H1251" s="8"/>
      <c r="I1251" s="9"/>
      <c r="J1251" s="9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7"/>
      <c r="B1252" s="8"/>
      <c r="C1252" s="8"/>
      <c r="D1252" s="8"/>
      <c r="E1252" s="8"/>
      <c r="F1252" s="8"/>
      <c r="G1252" s="8"/>
      <c r="H1252" s="8"/>
      <c r="I1252" s="9"/>
      <c r="J1252" s="9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7"/>
      <c r="B1253" s="8"/>
      <c r="C1253" s="8"/>
      <c r="D1253" s="8"/>
      <c r="E1253" s="8"/>
      <c r="F1253" s="8"/>
      <c r="G1253" s="8"/>
      <c r="H1253" s="8"/>
      <c r="I1253" s="9"/>
      <c r="J1253" s="9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7"/>
      <c r="B1254" s="8"/>
      <c r="C1254" s="8"/>
      <c r="D1254" s="8"/>
      <c r="E1254" s="8"/>
      <c r="F1254" s="8"/>
      <c r="G1254" s="8"/>
      <c r="H1254" s="8"/>
      <c r="I1254" s="9"/>
      <c r="J1254" s="9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7"/>
      <c r="B1255" s="8"/>
      <c r="C1255" s="8"/>
      <c r="D1255" s="8"/>
      <c r="E1255" s="8"/>
      <c r="F1255" s="8"/>
      <c r="G1255" s="8"/>
      <c r="H1255" s="8"/>
      <c r="I1255" s="9"/>
      <c r="J1255" s="9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7"/>
      <c r="B1256" s="8"/>
      <c r="C1256" s="8"/>
      <c r="D1256" s="8"/>
      <c r="E1256" s="8"/>
      <c r="F1256" s="8"/>
      <c r="G1256" s="8"/>
      <c r="H1256" s="8"/>
      <c r="I1256" s="9"/>
      <c r="J1256" s="9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7"/>
      <c r="B1257" s="8"/>
      <c r="C1257" s="8"/>
      <c r="D1257" s="8"/>
      <c r="E1257" s="8"/>
      <c r="F1257" s="8"/>
      <c r="G1257" s="8"/>
      <c r="H1257" s="8"/>
      <c r="I1257" s="9"/>
      <c r="J1257" s="9"/>
      <c r="K1257" s="18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11"/>
      <c r="B1258" s="11"/>
      <c r="C1258" s="11"/>
      <c r="D1258" s="11"/>
      <c r="E1258" s="11"/>
      <c r="F1258" s="11"/>
      <c r="G1258" s="11"/>
      <c r="H1258" s="11"/>
      <c r="I1258" s="20"/>
      <c r="J1258" s="20"/>
      <c r="K1258" s="21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11"/>
      <c r="B1259" s="11"/>
      <c r="C1259" s="11"/>
      <c r="D1259" s="11"/>
      <c r="E1259" s="11"/>
      <c r="F1259" s="11"/>
      <c r="G1259" s="11"/>
      <c r="H1259" s="11"/>
      <c r="I1259" s="20"/>
      <c r="J1259" s="20"/>
      <c r="K1259" s="21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11"/>
      <c r="B1260" s="11"/>
      <c r="C1260" s="11"/>
      <c r="D1260" s="11"/>
      <c r="E1260" s="11"/>
      <c r="F1260" s="11"/>
      <c r="G1260" s="11"/>
      <c r="H1260" s="11"/>
      <c r="I1260" s="20"/>
      <c r="J1260" s="20"/>
      <c r="K1260" s="21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11"/>
      <c r="B1261" s="11"/>
      <c r="C1261" s="11"/>
      <c r="D1261" s="11"/>
      <c r="E1261" s="11"/>
      <c r="F1261" s="11"/>
      <c r="G1261" s="11"/>
      <c r="H1261" s="11"/>
      <c r="I1261" s="20"/>
      <c r="J1261" s="20"/>
      <c r="K1261" s="21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11"/>
      <c r="B1262" s="11"/>
      <c r="C1262" s="11"/>
      <c r="D1262" s="11"/>
      <c r="E1262" s="11"/>
      <c r="F1262" s="11"/>
      <c r="G1262" s="11"/>
      <c r="H1262" s="11"/>
      <c r="I1262" s="20"/>
      <c r="J1262" s="20"/>
      <c r="K1262" s="21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11"/>
      <c r="B1263" s="11"/>
      <c r="C1263" s="11"/>
      <c r="D1263" s="11"/>
      <c r="E1263" s="11"/>
      <c r="F1263" s="11"/>
      <c r="G1263" s="11"/>
      <c r="H1263" s="11"/>
      <c r="I1263" s="20"/>
      <c r="J1263" s="20"/>
      <c r="K1263" s="21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11"/>
      <c r="B1264" s="11"/>
      <c r="C1264" s="11"/>
      <c r="D1264" s="11"/>
      <c r="E1264" s="11"/>
      <c r="F1264" s="11"/>
      <c r="G1264" s="11"/>
      <c r="H1264" s="11"/>
      <c r="I1264" s="20"/>
      <c r="J1264" s="20"/>
      <c r="K1264" s="21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11"/>
      <c r="B1265" s="11"/>
      <c r="C1265" s="11"/>
      <c r="D1265" s="11"/>
      <c r="E1265" s="11"/>
      <c r="F1265" s="11"/>
      <c r="G1265" s="11"/>
      <c r="H1265" s="11"/>
      <c r="I1265" s="20"/>
      <c r="J1265" s="20"/>
      <c r="K1265" s="21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22"/>
      <c r="B1266" s="3"/>
      <c r="C1266" s="3"/>
      <c r="D1266" s="3"/>
      <c r="E1266" s="3"/>
      <c r="F1266" s="3"/>
      <c r="G1266" s="3"/>
      <c r="H1266" s="3"/>
      <c r="I1266" s="2"/>
      <c r="J1266" s="2"/>
      <c r="K1266" s="2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22"/>
      <c r="B1267" s="3"/>
      <c r="C1267" s="3"/>
      <c r="D1267" s="3"/>
      <c r="E1267" s="3"/>
      <c r="F1267" s="3"/>
      <c r="G1267" s="3"/>
      <c r="H1267" s="3"/>
      <c r="I1267" s="2"/>
      <c r="J1267" s="2"/>
      <c r="K1267" s="2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22"/>
      <c r="B1268" s="3"/>
      <c r="C1268" s="3"/>
      <c r="D1268" s="3"/>
      <c r="E1268" s="3"/>
      <c r="F1268" s="3"/>
      <c r="G1268" s="3"/>
      <c r="H1268" s="3"/>
      <c r="I1268" s="2"/>
      <c r="J1268" s="2"/>
      <c r="K1268" s="2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22"/>
      <c r="B1269" s="3"/>
      <c r="C1269" s="3"/>
      <c r="D1269" s="3"/>
      <c r="E1269" s="3"/>
      <c r="F1269" s="3"/>
      <c r="G1269" s="3"/>
      <c r="H1269" s="3"/>
      <c r="I1269" s="2"/>
      <c r="J1269" s="2"/>
      <c r="K1269" s="2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22"/>
      <c r="B1270" s="3"/>
      <c r="C1270" s="3"/>
      <c r="D1270" s="3"/>
      <c r="E1270" s="3"/>
      <c r="F1270" s="3"/>
      <c r="G1270" s="3"/>
      <c r="H1270" s="3"/>
      <c r="I1270" s="2"/>
      <c r="J1270" s="2"/>
      <c r="K1270" s="2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22"/>
      <c r="B1271" s="3"/>
      <c r="C1271" s="3"/>
      <c r="D1271" s="3"/>
      <c r="E1271" s="3"/>
      <c r="F1271" s="3"/>
      <c r="G1271" s="3"/>
      <c r="H1271" s="3"/>
      <c r="I1271" s="2"/>
      <c r="J1271" s="2"/>
      <c r="K1271" s="2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22"/>
      <c r="B1272" s="3"/>
      <c r="C1272" s="3"/>
      <c r="D1272" s="3"/>
      <c r="E1272" s="3"/>
      <c r="F1272" s="3"/>
      <c r="G1272" s="3"/>
      <c r="H1272" s="3"/>
      <c r="I1272" s="2"/>
      <c r="J1272" s="2"/>
      <c r="K1272" s="2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7"/>
      <c r="B1273" s="8"/>
      <c r="C1273" s="8"/>
      <c r="D1273" s="8"/>
      <c r="E1273" s="8"/>
      <c r="F1273" s="8"/>
      <c r="G1273" s="8"/>
      <c r="H1273" s="8"/>
      <c r="I1273" s="9"/>
      <c r="J1273" s="9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7"/>
      <c r="B1274" s="8"/>
      <c r="C1274" s="8"/>
      <c r="D1274" s="8"/>
      <c r="E1274" s="8"/>
      <c r="F1274" s="8"/>
      <c r="G1274" s="8"/>
      <c r="H1274" s="8"/>
      <c r="I1274" s="9"/>
      <c r="J1274" s="9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7"/>
      <c r="B1275" s="8"/>
      <c r="C1275" s="8"/>
      <c r="D1275" s="8"/>
      <c r="E1275" s="8"/>
      <c r="F1275" s="8"/>
      <c r="G1275" s="8"/>
      <c r="H1275" s="8"/>
      <c r="I1275" s="9"/>
      <c r="J1275" s="9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7"/>
      <c r="B1276" s="8"/>
      <c r="C1276" s="8"/>
      <c r="D1276" s="8"/>
      <c r="E1276" s="8"/>
      <c r="F1276" s="8"/>
      <c r="G1276" s="8"/>
      <c r="H1276" s="8"/>
      <c r="I1276" s="9"/>
      <c r="J1276" s="9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7"/>
      <c r="B1277" s="8"/>
      <c r="C1277" s="8"/>
      <c r="D1277" s="8"/>
      <c r="E1277" s="8"/>
      <c r="F1277" s="8"/>
      <c r="G1277" s="8"/>
      <c r="H1277" s="8"/>
      <c r="I1277" s="9"/>
      <c r="J1277" s="9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7"/>
      <c r="B1278" s="8"/>
      <c r="C1278" s="8"/>
      <c r="D1278" s="8"/>
      <c r="E1278" s="8"/>
      <c r="F1278" s="8"/>
      <c r="G1278" s="8"/>
      <c r="H1278" s="8"/>
      <c r="I1278" s="9"/>
      <c r="J1278" s="9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7"/>
      <c r="B1279" s="8"/>
      <c r="C1279" s="8"/>
      <c r="D1279" s="8"/>
      <c r="E1279" s="8"/>
      <c r="F1279" s="8"/>
      <c r="G1279" s="8"/>
      <c r="H1279" s="8"/>
      <c r="I1279" s="9"/>
      <c r="J1279" s="9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7"/>
      <c r="B1280" s="8"/>
      <c r="C1280" s="8"/>
      <c r="D1280" s="8"/>
      <c r="E1280" s="8"/>
      <c r="F1280" s="8"/>
      <c r="G1280" s="8"/>
      <c r="H1280" s="8"/>
      <c r="I1280" s="9"/>
      <c r="J1280" s="9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7"/>
      <c r="B1281" s="8"/>
      <c r="C1281" s="8"/>
      <c r="D1281" s="8"/>
      <c r="E1281" s="8"/>
      <c r="F1281" s="8"/>
      <c r="G1281" s="8"/>
      <c r="H1281" s="8"/>
      <c r="I1281" s="9"/>
      <c r="J1281" s="9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7"/>
      <c r="B1282" s="8"/>
      <c r="C1282" s="8"/>
      <c r="D1282" s="8"/>
      <c r="E1282" s="8"/>
      <c r="F1282" s="8"/>
      <c r="G1282" s="8"/>
      <c r="H1282" s="8"/>
      <c r="I1282" s="9"/>
      <c r="J1282" s="9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7"/>
      <c r="B1283" s="8"/>
      <c r="C1283" s="8"/>
      <c r="D1283" s="8"/>
      <c r="E1283" s="8"/>
      <c r="F1283" s="8"/>
      <c r="G1283" s="8"/>
      <c r="H1283" s="8"/>
      <c r="I1283" s="9"/>
      <c r="J1283" s="9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7"/>
      <c r="B1284" s="8"/>
      <c r="C1284" s="8"/>
      <c r="D1284" s="8"/>
      <c r="E1284" s="8"/>
      <c r="F1284" s="8"/>
      <c r="G1284" s="8"/>
      <c r="H1284" s="8"/>
      <c r="I1284" s="9"/>
      <c r="J1284" s="9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7"/>
      <c r="B1285" s="8"/>
      <c r="C1285" s="8"/>
      <c r="D1285" s="8"/>
      <c r="E1285" s="8"/>
      <c r="F1285" s="8"/>
      <c r="G1285" s="8"/>
      <c r="H1285" s="8"/>
      <c r="I1285" s="9"/>
      <c r="J1285" s="9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7"/>
      <c r="B1286" s="8"/>
      <c r="C1286" s="8"/>
      <c r="D1286" s="8"/>
      <c r="E1286" s="8"/>
      <c r="F1286" s="8"/>
      <c r="G1286" s="8"/>
      <c r="H1286" s="8"/>
      <c r="I1286" s="9"/>
      <c r="J1286" s="9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7"/>
      <c r="B1287" s="8"/>
      <c r="C1287" s="8"/>
      <c r="D1287" s="8"/>
      <c r="E1287" s="8"/>
      <c r="F1287" s="8"/>
      <c r="G1287" s="8"/>
      <c r="H1287" s="8"/>
      <c r="I1287" s="9"/>
      <c r="J1287" s="9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7"/>
      <c r="B1288" s="8"/>
      <c r="C1288" s="8"/>
      <c r="D1288" s="8"/>
      <c r="E1288" s="8"/>
      <c r="F1288" s="8"/>
      <c r="G1288" s="8"/>
      <c r="H1288" s="8"/>
      <c r="I1288" s="9"/>
      <c r="J1288" s="9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7"/>
      <c r="B1289" s="8"/>
      <c r="C1289" s="8"/>
      <c r="D1289" s="8"/>
      <c r="E1289" s="8"/>
      <c r="F1289" s="8"/>
      <c r="G1289" s="8"/>
      <c r="H1289" s="8"/>
      <c r="I1289" s="9"/>
      <c r="J1289" s="9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7"/>
      <c r="B1290" s="8"/>
      <c r="C1290" s="8"/>
      <c r="D1290" s="8"/>
      <c r="E1290" s="8"/>
      <c r="F1290" s="8"/>
      <c r="G1290" s="8"/>
      <c r="H1290" s="8"/>
      <c r="I1290" s="9"/>
      <c r="J1290" s="9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7"/>
      <c r="B1291" s="8"/>
      <c r="C1291" s="8"/>
      <c r="D1291" s="8"/>
      <c r="E1291" s="8"/>
      <c r="F1291" s="8"/>
      <c r="G1291" s="8"/>
      <c r="H1291" s="8"/>
      <c r="I1291" s="9"/>
      <c r="J1291" s="9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7"/>
      <c r="B1292" s="8"/>
      <c r="C1292" s="8"/>
      <c r="D1292" s="8"/>
      <c r="E1292" s="8"/>
      <c r="F1292" s="8"/>
      <c r="G1292" s="8"/>
      <c r="H1292" s="8"/>
      <c r="I1292" s="9"/>
      <c r="J1292" s="9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7"/>
      <c r="B1293" s="8"/>
      <c r="C1293" s="8"/>
      <c r="D1293" s="8"/>
      <c r="E1293" s="8"/>
      <c r="F1293" s="8"/>
      <c r="G1293" s="8"/>
      <c r="H1293" s="8"/>
      <c r="I1293" s="9"/>
      <c r="J1293" s="9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7"/>
      <c r="B1294" s="8"/>
      <c r="C1294" s="8"/>
      <c r="D1294" s="8"/>
      <c r="E1294" s="8"/>
      <c r="F1294" s="8"/>
      <c r="G1294" s="8"/>
      <c r="H1294" s="8"/>
      <c r="I1294" s="9"/>
      <c r="J1294" s="9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7"/>
      <c r="B1295" s="8"/>
      <c r="C1295" s="8"/>
      <c r="D1295" s="8"/>
      <c r="E1295" s="8"/>
      <c r="F1295" s="8"/>
      <c r="G1295" s="8"/>
      <c r="H1295" s="8"/>
      <c r="I1295" s="9"/>
      <c r="J1295" s="9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7"/>
      <c r="B1296" s="8"/>
      <c r="C1296" s="8"/>
      <c r="D1296" s="8"/>
      <c r="E1296" s="8"/>
      <c r="F1296" s="8"/>
      <c r="G1296" s="8"/>
      <c r="H1296" s="8"/>
      <c r="I1296" s="9"/>
      <c r="J1296" s="9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7"/>
      <c r="B1297" s="8"/>
      <c r="C1297" s="8"/>
      <c r="D1297" s="8"/>
      <c r="E1297" s="8"/>
      <c r="F1297" s="8"/>
      <c r="G1297" s="8"/>
      <c r="H1297" s="8"/>
      <c r="I1297" s="9"/>
      <c r="J1297" s="9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7"/>
      <c r="B1298" s="8"/>
      <c r="C1298" s="8"/>
      <c r="D1298" s="8"/>
      <c r="E1298" s="8"/>
      <c r="F1298" s="8"/>
      <c r="G1298" s="8"/>
      <c r="H1298" s="8"/>
      <c r="I1298" s="9"/>
      <c r="J1298" s="9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7"/>
      <c r="B1299" s="8"/>
      <c r="C1299" s="8"/>
      <c r="D1299" s="8"/>
      <c r="E1299" s="8"/>
      <c r="F1299" s="8"/>
      <c r="G1299" s="8"/>
      <c r="H1299" s="8"/>
      <c r="I1299" s="9"/>
      <c r="J1299" s="9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7"/>
      <c r="B1300" s="8"/>
      <c r="C1300" s="8"/>
      <c r="D1300" s="8"/>
      <c r="E1300" s="8"/>
      <c r="F1300" s="8"/>
      <c r="G1300" s="8"/>
      <c r="H1300" s="8"/>
      <c r="I1300" s="9"/>
      <c r="J1300" s="9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7"/>
      <c r="B1301" s="8"/>
      <c r="C1301" s="8"/>
      <c r="D1301" s="8"/>
      <c r="E1301" s="8"/>
      <c r="F1301" s="8"/>
      <c r="G1301" s="8"/>
      <c r="H1301" s="8"/>
      <c r="I1301" s="9"/>
      <c r="J1301" s="9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7"/>
      <c r="B1302" s="8"/>
      <c r="C1302" s="8"/>
      <c r="D1302" s="8"/>
      <c r="E1302" s="8"/>
      <c r="F1302" s="8"/>
      <c r="G1302" s="8"/>
      <c r="H1302" s="8"/>
      <c r="I1302" s="9"/>
      <c r="J1302" s="9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7"/>
      <c r="B1303" s="8"/>
      <c r="C1303" s="8"/>
      <c r="D1303" s="8"/>
      <c r="E1303" s="8"/>
      <c r="F1303" s="8"/>
      <c r="G1303" s="8"/>
      <c r="H1303" s="8"/>
      <c r="I1303" s="9"/>
      <c r="J1303" s="9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7"/>
      <c r="B1304" s="8"/>
      <c r="C1304" s="8"/>
      <c r="D1304" s="8"/>
      <c r="E1304" s="8"/>
      <c r="F1304" s="8"/>
      <c r="G1304" s="8"/>
      <c r="H1304" s="8"/>
      <c r="I1304" s="9"/>
      <c r="J1304" s="9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7"/>
      <c r="B1305" s="8"/>
      <c r="C1305" s="8"/>
      <c r="D1305" s="8"/>
      <c r="E1305" s="8"/>
      <c r="F1305" s="8"/>
      <c r="G1305" s="8"/>
      <c r="H1305" s="8"/>
      <c r="I1305" s="9"/>
      <c r="J1305" s="9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7"/>
      <c r="B1306" s="8"/>
      <c r="C1306" s="8"/>
      <c r="D1306" s="8"/>
      <c r="E1306" s="8"/>
      <c r="F1306" s="8"/>
      <c r="G1306" s="8"/>
      <c r="H1306" s="8"/>
      <c r="I1306" s="9"/>
      <c r="J1306" s="9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7"/>
      <c r="B1307" s="8"/>
      <c r="C1307" s="8"/>
      <c r="D1307" s="8"/>
      <c r="E1307" s="8"/>
      <c r="F1307" s="8"/>
      <c r="G1307" s="8"/>
      <c r="H1307" s="8"/>
      <c r="I1307" s="9"/>
      <c r="J1307" s="9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7"/>
      <c r="B1308" s="8"/>
      <c r="C1308" s="8"/>
      <c r="D1308" s="8"/>
      <c r="E1308" s="8"/>
      <c r="F1308" s="8"/>
      <c r="G1308" s="8"/>
      <c r="H1308" s="8"/>
      <c r="I1308" s="9"/>
      <c r="J1308" s="9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7"/>
      <c r="B1309" s="8"/>
      <c r="C1309" s="8"/>
      <c r="D1309" s="8"/>
      <c r="E1309" s="8"/>
      <c r="F1309" s="8"/>
      <c r="G1309" s="8"/>
      <c r="H1309" s="8"/>
      <c r="I1309" s="9"/>
      <c r="J1309" s="9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7"/>
      <c r="B1310" s="8"/>
      <c r="C1310" s="8"/>
      <c r="D1310" s="8"/>
      <c r="E1310" s="8"/>
      <c r="F1310" s="8"/>
      <c r="G1310" s="8"/>
      <c r="H1310" s="8"/>
      <c r="I1310" s="9"/>
      <c r="J1310" s="9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7"/>
      <c r="B1311" s="8"/>
      <c r="C1311" s="8"/>
      <c r="D1311" s="8"/>
      <c r="E1311" s="8"/>
      <c r="F1311" s="8"/>
      <c r="G1311" s="8"/>
      <c r="H1311" s="8"/>
      <c r="I1311" s="9"/>
      <c r="J1311" s="9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7"/>
      <c r="B1312" s="8"/>
      <c r="C1312" s="8"/>
      <c r="D1312" s="8"/>
      <c r="E1312" s="8"/>
      <c r="F1312" s="8"/>
      <c r="G1312" s="8"/>
      <c r="H1312" s="8"/>
      <c r="I1312" s="9"/>
      <c r="J1312" s="9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7"/>
      <c r="B1313" s="8"/>
      <c r="C1313" s="8"/>
      <c r="D1313" s="8"/>
      <c r="E1313" s="8"/>
      <c r="F1313" s="8"/>
      <c r="G1313" s="8"/>
      <c r="H1313" s="8"/>
      <c r="I1313" s="9"/>
      <c r="J1313" s="9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7"/>
      <c r="B1314" s="8"/>
      <c r="C1314" s="8"/>
      <c r="D1314" s="8"/>
      <c r="E1314" s="8"/>
      <c r="F1314" s="8"/>
      <c r="G1314" s="8"/>
      <c r="H1314" s="8"/>
      <c r="I1314" s="9"/>
      <c r="J1314" s="9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7"/>
      <c r="B1315" s="8"/>
      <c r="C1315" s="8"/>
      <c r="D1315" s="8"/>
      <c r="E1315" s="8"/>
      <c r="F1315" s="8"/>
      <c r="G1315" s="8"/>
      <c r="H1315" s="8"/>
      <c r="I1315" s="9"/>
      <c r="J1315" s="9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7"/>
      <c r="B1316" s="8"/>
      <c r="C1316" s="8"/>
      <c r="D1316" s="8"/>
      <c r="E1316" s="8"/>
      <c r="F1316" s="8"/>
      <c r="G1316" s="8"/>
      <c r="H1316" s="8"/>
      <c r="I1316" s="9"/>
      <c r="J1316" s="9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7"/>
      <c r="B1317" s="8"/>
      <c r="C1317" s="8"/>
      <c r="D1317" s="8"/>
      <c r="E1317" s="8"/>
      <c r="F1317" s="8"/>
      <c r="G1317" s="8"/>
      <c r="H1317" s="8"/>
      <c r="I1317" s="9"/>
      <c r="J1317" s="9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7"/>
      <c r="B1318" s="8"/>
      <c r="C1318" s="8"/>
      <c r="D1318" s="8"/>
      <c r="E1318" s="8"/>
      <c r="F1318" s="8"/>
      <c r="G1318" s="8"/>
      <c r="H1318" s="8"/>
      <c r="I1318" s="9"/>
      <c r="J1318" s="9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7"/>
      <c r="B1319" s="8"/>
      <c r="C1319" s="8"/>
      <c r="D1319" s="8"/>
      <c r="E1319" s="8"/>
      <c r="F1319" s="8"/>
      <c r="G1319" s="8"/>
      <c r="H1319" s="8"/>
      <c r="I1319" s="9"/>
      <c r="J1319" s="9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7"/>
      <c r="B1320" s="8"/>
      <c r="C1320" s="8"/>
      <c r="D1320" s="8"/>
      <c r="E1320" s="8"/>
      <c r="F1320" s="8"/>
      <c r="G1320" s="8"/>
      <c r="H1320" s="8"/>
      <c r="I1320" s="9"/>
      <c r="J1320" s="9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7"/>
      <c r="B1321" s="8"/>
      <c r="C1321" s="8"/>
      <c r="D1321" s="8"/>
      <c r="E1321" s="8"/>
      <c r="F1321" s="8"/>
      <c r="G1321" s="8"/>
      <c r="H1321" s="8"/>
      <c r="I1321" s="9"/>
      <c r="J1321" s="9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7"/>
      <c r="B1322" s="8"/>
      <c r="C1322" s="8"/>
      <c r="D1322" s="8"/>
      <c r="E1322" s="8"/>
      <c r="F1322" s="8"/>
      <c r="G1322" s="8"/>
      <c r="H1322" s="8"/>
      <c r="I1322" s="9"/>
      <c r="J1322" s="9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7"/>
      <c r="B1323" s="8"/>
      <c r="C1323" s="8"/>
      <c r="D1323" s="8"/>
      <c r="E1323" s="8"/>
      <c r="F1323" s="8"/>
      <c r="G1323" s="8"/>
      <c r="H1323" s="8"/>
      <c r="I1323" s="9"/>
      <c r="J1323" s="9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7"/>
      <c r="B1324" s="8"/>
      <c r="C1324" s="8"/>
      <c r="D1324" s="8"/>
      <c r="E1324" s="8"/>
      <c r="F1324" s="8"/>
      <c r="G1324" s="8"/>
      <c r="H1324" s="8"/>
      <c r="I1324" s="9"/>
      <c r="J1324" s="9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7"/>
      <c r="B1325" s="8"/>
      <c r="C1325" s="8"/>
      <c r="D1325" s="8"/>
      <c r="E1325" s="8"/>
      <c r="F1325" s="8"/>
      <c r="G1325" s="8"/>
      <c r="H1325" s="8"/>
      <c r="I1325" s="9"/>
      <c r="J1325" s="9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7"/>
      <c r="B1326" s="8"/>
      <c r="C1326" s="8"/>
      <c r="D1326" s="8"/>
      <c r="E1326" s="8"/>
      <c r="F1326" s="8"/>
      <c r="G1326" s="8"/>
      <c r="H1326" s="8"/>
      <c r="I1326" s="9"/>
      <c r="J1326" s="9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7"/>
      <c r="B1327" s="8"/>
      <c r="C1327" s="8"/>
      <c r="D1327" s="8"/>
      <c r="E1327" s="8"/>
      <c r="F1327" s="8"/>
      <c r="G1327" s="8"/>
      <c r="H1327" s="8"/>
      <c r="I1327" s="9"/>
      <c r="J1327" s="9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7"/>
      <c r="B1328" s="8"/>
      <c r="C1328" s="8"/>
      <c r="D1328" s="8"/>
      <c r="E1328" s="8"/>
      <c r="F1328" s="8"/>
      <c r="G1328" s="8"/>
      <c r="H1328" s="8"/>
      <c r="I1328" s="9"/>
      <c r="J1328" s="9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7"/>
      <c r="B1329" s="8"/>
      <c r="C1329" s="8"/>
      <c r="D1329" s="8"/>
      <c r="E1329" s="8"/>
      <c r="F1329" s="8"/>
      <c r="G1329" s="8"/>
      <c r="H1329" s="8"/>
      <c r="I1329" s="9"/>
      <c r="J1329" s="9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7"/>
      <c r="B1330" s="8"/>
      <c r="C1330" s="8"/>
      <c r="D1330" s="8"/>
      <c r="E1330" s="8"/>
      <c r="F1330" s="8"/>
      <c r="G1330" s="8"/>
      <c r="H1330" s="8"/>
      <c r="I1330" s="9"/>
      <c r="J1330" s="9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7"/>
      <c r="B1331" s="8"/>
      <c r="C1331" s="8"/>
      <c r="D1331" s="8"/>
      <c r="E1331" s="8"/>
      <c r="F1331" s="8"/>
      <c r="G1331" s="8"/>
      <c r="H1331" s="8"/>
      <c r="I1331" s="9"/>
      <c r="J1331" s="9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7"/>
      <c r="B1332" s="8"/>
      <c r="C1332" s="8"/>
      <c r="D1332" s="8"/>
      <c r="E1332" s="8"/>
      <c r="F1332" s="8"/>
      <c r="G1332" s="8"/>
      <c r="H1332" s="8"/>
      <c r="I1332" s="9"/>
      <c r="J1332" s="9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7"/>
      <c r="B1333" s="8"/>
      <c r="C1333" s="8"/>
      <c r="D1333" s="8"/>
      <c r="E1333" s="8"/>
      <c r="F1333" s="8"/>
      <c r="G1333" s="8"/>
      <c r="H1333" s="8"/>
      <c r="I1333" s="9"/>
      <c r="J1333" s="9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7"/>
      <c r="B1334" s="8"/>
      <c r="C1334" s="8"/>
      <c r="D1334" s="8"/>
      <c r="E1334" s="8"/>
      <c r="F1334" s="8"/>
      <c r="G1334" s="8"/>
      <c r="H1334" s="8"/>
      <c r="I1334" s="9"/>
      <c r="J1334" s="9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7"/>
      <c r="B1335" s="8"/>
      <c r="C1335" s="8"/>
      <c r="D1335" s="8"/>
      <c r="E1335" s="8"/>
      <c r="F1335" s="8"/>
      <c r="G1335" s="8"/>
      <c r="H1335" s="8"/>
      <c r="I1335" s="9"/>
      <c r="J1335" s="9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7"/>
      <c r="B1336" s="8"/>
      <c r="C1336" s="8"/>
      <c r="D1336" s="8"/>
      <c r="E1336" s="8"/>
      <c r="F1336" s="8"/>
      <c r="G1336" s="8"/>
      <c r="H1336" s="8"/>
      <c r="I1336" s="9"/>
      <c r="J1336" s="9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7"/>
      <c r="B1337" s="8"/>
      <c r="C1337" s="8"/>
      <c r="D1337" s="8"/>
      <c r="E1337" s="8"/>
      <c r="F1337" s="8"/>
      <c r="G1337" s="8"/>
      <c r="H1337" s="8"/>
      <c r="I1337" s="9"/>
      <c r="J1337" s="9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7"/>
      <c r="B1338" s="8"/>
      <c r="C1338" s="8"/>
      <c r="D1338" s="8"/>
      <c r="E1338" s="8"/>
      <c r="F1338" s="8"/>
      <c r="G1338" s="8"/>
      <c r="H1338" s="8"/>
      <c r="I1338" s="9"/>
      <c r="J1338" s="9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7"/>
      <c r="B1339" s="8"/>
      <c r="C1339" s="8"/>
      <c r="D1339" s="8"/>
      <c r="E1339" s="8"/>
      <c r="F1339" s="8"/>
      <c r="G1339" s="8"/>
      <c r="H1339" s="8"/>
      <c r="I1339" s="9"/>
      <c r="J1339" s="9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7"/>
      <c r="B1340" s="8"/>
      <c r="C1340" s="8"/>
      <c r="D1340" s="8"/>
      <c r="E1340" s="8"/>
      <c r="F1340" s="8"/>
      <c r="G1340" s="8"/>
      <c r="H1340" s="8"/>
      <c r="I1340" s="9"/>
      <c r="J1340" s="9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7"/>
      <c r="B1341" s="8"/>
      <c r="C1341" s="8"/>
      <c r="D1341" s="8"/>
      <c r="E1341" s="8"/>
      <c r="F1341" s="8"/>
      <c r="G1341" s="8"/>
      <c r="H1341" s="8"/>
      <c r="I1341" s="9"/>
      <c r="J1341" s="9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7"/>
      <c r="B1342" s="8"/>
      <c r="C1342" s="8"/>
      <c r="D1342" s="8"/>
      <c r="E1342" s="8"/>
      <c r="F1342" s="8"/>
      <c r="G1342" s="8"/>
      <c r="H1342" s="8"/>
      <c r="I1342" s="9"/>
      <c r="J1342" s="9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7"/>
      <c r="B1343" s="8"/>
      <c r="C1343" s="8"/>
      <c r="D1343" s="8"/>
      <c r="E1343" s="8"/>
      <c r="F1343" s="8"/>
      <c r="G1343" s="8"/>
      <c r="H1343" s="8"/>
      <c r="I1343" s="9"/>
      <c r="J1343" s="9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7"/>
      <c r="B1344" s="8"/>
      <c r="C1344" s="8"/>
      <c r="D1344" s="8"/>
      <c r="E1344" s="8"/>
      <c r="F1344" s="8"/>
      <c r="G1344" s="8"/>
      <c r="H1344" s="8"/>
      <c r="I1344" s="9"/>
      <c r="J1344" s="9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7"/>
      <c r="B1345" s="8"/>
      <c r="C1345" s="8"/>
      <c r="D1345" s="8"/>
      <c r="E1345" s="8"/>
      <c r="F1345" s="8"/>
      <c r="G1345" s="8"/>
      <c r="H1345" s="8"/>
      <c r="I1345" s="9"/>
      <c r="J1345" s="9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7"/>
      <c r="B1346" s="8"/>
      <c r="C1346" s="8"/>
      <c r="D1346" s="8"/>
      <c r="E1346" s="8"/>
      <c r="F1346" s="8"/>
      <c r="G1346" s="8"/>
      <c r="H1346" s="8"/>
      <c r="I1346" s="9"/>
      <c r="J1346" s="9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7"/>
      <c r="B1347" s="8"/>
      <c r="C1347" s="8"/>
      <c r="D1347" s="8"/>
      <c r="E1347" s="8"/>
      <c r="F1347" s="8"/>
      <c r="G1347" s="8"/>
      <c r="H1347" s="8"/>
      <c r="I1347" s="9"/>
      <c r="J1347" s="9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7"/>
      <c r="B1348" s="8"/>
      <c r="C1348" s="8"/>
      <c r="D1348" s="8"/>
      <c r="E1348" s="8"/>
      <c r="F1348" s="8"/>
      <c r="G1348" s="8"/>
      <c r="H1348" s="8"/>
      <c r="I1348" s="9"/>
      <c r="J1348" s="9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7"/>
      <c r="B1349" s="8"/>
      <c r="C1349" s="8"/>
      <c r="D1349" s="8"/>
      <c r="E1349" s="8"/>
      <c r="F1349" s="8"/>
      <c r="G1349" s="8"/>
      <c r="H1349" s="8"/>
      <c r="I1349" s="9"/>
      <c r="J1349" s="9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7"/>
      <c r="B1350" s="8"/>
      <c r="C1350" s="8"/>
      <c r="D1350" s="8"/>
      <c r="E1350" s="8"/>
      <c r="F1350" s="8"/>
      <c r="G1350" s="8"/>
      <c r="H1350" s="8"/>
      <c r="I1350" s="9"/>
      <c r="J1350" s="9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7"/>
      <c r="B1351" s="8"/>
      <c r="C1351" s="8"/>
      <c r="D1351" s="8"/>
      <c r="E1351" s="8"/>
      <c r="F1351" s="8"/>
      <c r="G1351" s="8"/>
      <c r="H1351" s="8"/>
      <c r="I1351" s="9"/>
      <c r="J1351" s="9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7"/>
      <c r="B1352" s="8"/>
      <c r="C1352" s="8"/>
      <c r="D1352" s="8"/>
      <c r="E1352" s="8"/>
      <c r="F1352" s="8"/>
      <c r="G1352" s="8"/>
      <c r="H1352" s="8"/>
      <c r="I1352" s="9"/>
      <c r="J1352" s="9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7"/>
      <c r="B1353" s="8"/>
      <c r="C1353" s="8"/>
      <c r="D1353" s="8"/>
      <c r="E1353" s="8"/>
      <c r="F1353" s="8"/>
      <c r="G1353" s="8"/>
      <c r="H1353" s="8"/>
      <c r="I1353" s="9"/>
      <c r="J1353" s="9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7"/>
      <c r="B1354" s="8"/>
      <c r="C1354" s="8"/>
      <c r="D1354" s="8"/>
      <c r="E1354" s="8"/>
      <c r="F1354" s="8"/>
      <c r="G1354" s="8"/>
      <c r="H1354" s="8"/>
      <c r="I1354" s="9"/>
      <c r="J1354" s="9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7"/>
      <c r="B1355" s="8"/>
      <c r="C1355" s="8"/>
      <c r="D1355" s="8"/>
      <c r="E1355" s="8"/>
      <c r="F1355" s="8"/>
      <c r="G1355" s="8"/>
      <c r="H1355" s="8"/>
      <c r="I1355" s="9"/>
      <c r="J1355" s="9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7"/>
      <c r="B1356" s="8"/>
      <c r="C1356" s="8"/>
      <c r="D1356" s="8"/>
      <c r="E1356" s="8"/>
      <c r="F1356" s="8"/>
      <c r="G1356" s="8"/>
      <c r="H1356" s="8"/>
      <c r="I1356" s="9"/>
      <c r="J1356" s="9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7"/>
      <c r="B1357" s="8"/>
      <c r="C1357" s="8"/>
      <c r="D1357" s="8"/>
      <c r="E1357" s="8"/>
      <c r="F1357" s="8"/>
      <c r="G1357" s="8"/>
      <c r="H1357" s="8"/>
      <c r="I1357" s="9"/>
      <c r="J1357" s="9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7"/>
      <c r="B1358" s="8"/>
      <c r="C1358" s="8"/>
      <c r="D1358" s="8"/>
      <c r="E1358" s="8"/>
      <c r="F1358" s="8"/>
      <c r="G1358" s="8"/>
      <c r="H1358" s="8"/>
      <c r="I1358" s="9"/>
      <c r="J1358" s="9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7"/>
      <c r="B1359" s="8"/>
      <c r="C1359" s="8"/>
      <c r="D1359" s="8"/>
      <c r="E1359" s="8"/>
      <c r="F1359" s="8"/>
      <c r="G1359" s="8"/>
      <c r="H1359" s="8"/>
      <c r="I1359" s="9"/>
      <c r="J1359" s="9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7"/>
      <c r="B1360" s="8"/>
      <c r="C1360" s="8"/>
      <c r="D1360" s="8"/>
      <c r="E1360" s="8"/>
      <c r="F1360" s="8"/>
      <c r="G1360" s="8"/>
      <c r="H1360" s="8"/>
      <c r="I1360" s="9"/>
      <c r="J1360" s="9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7"/>
      <c r="B1361" s="8"/>
      <c r="C1361" s="8"/>
      <c r="D1361" s="8"/>
      <c r="E1361" s="8"/>
      <c r="F1361" s="8"/>
      <c r="G1361" s="8"/>
      <c r="H1361" s="8"/>
      <c r="I1361" s="9"/>
      <c r="J1361" s="9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7"/>
      <c r="B1362" s="8"/>
      <c r="C1362" s="8"/>
      <c r="D1362" s="8"/>
      <c r="E1362" s="8"/>
      <c r="F1362" s="8"/>
      <c r="G1362" s="8"/>
      <c r="H1362" s="8"/>
      <c r="I1362" s="9"/>
      <c r="J1362" s="9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7"/>
      <c r="B1363" s="8"/>
      <c r="C1363" s="8"/>
      <c r="D1363" s="8"/>
      <c r="E1363" s="8"/>
      <c r="F1363" s="8"/>
      <c r="G1363" s="8"/>
      <c r="H1363" s="8"/>
      <c r="I1363" s="9"/>
      <c r="J1363" s="9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7"/>
      <c r="B1364" s="8"/>
      <c r="C1364" s="8"/>
      <c r="D1364" s="8"/>
      <c r="E1364" s="8"/>
      <c r="F1364" s="8"/>
      <c r="G1364" s="8"/>
      <c r="H1364" s="8"/>
      <c r="I1364" s="9"/>
      <c r="J1364" s="9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7"/>
      <c r="B1365" s="8"/>
      <c r="C1365" s="8"/>
      <c r="D1365" s="8"/>
      <c r="E1365" s="8"/>
      <c r="F1365" s="8"/>
      <c r="G1365" s="8"/>
      <c r="H1365" s="8"/>
      <c r="I1365" s="9"/>
      <c r="J1365" s="9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7"/>
      <c r="B1366" s="8"/>
      <c r="C1366" s="8"/>
      <c r="D1366" s="8"/>
      <c r="E1366" s="8"/>
      <c r="F1366" s="8"/>
      <c r="G1366" s="8"/>
      <c r="H1366" s="8"/>
      <c r="I1366" s="9"/>
      <c r="J1366" s="9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7"/>
      <c r="B1367" s="8"/>
      <c r="C1367" s="8"/>
      <c r="D1367" s="8"/>
      <c r="E1367" s="8"/>
      <c r="F1367" s="8"/>
      <c r="G1367" s="8"/>
      <c r="H1367" s="8"/>
      <c r="I1367" s="9"/>
      <c r="J1367" s="9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7"/>
      <c r="B1368" s="8"/>
      <c r="C1368" s="8"/>
      <c r="D1368" s="8"/>
      <c r="E1368" s="8"/>
      <c r="F1368" s="8"/>
      <c r="G1368" s="8"/>
      <c r="H1368" s="8"/>
      <c r="I1368" s="9"/>
      <c r="J1368" s="9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7"/>
      <c r="B1369" s="8"/>
      <c r="C1369" s="8"/>
      <c r="D1369" s="8"/>
      <c r="E1369" s="8"/>
      <c r="F1369" s="8"/>
      <c r="G1369" s="8"/>
      <c r="H1369" s="8"/>
      <c r="I1369" s="9"/>
      <c r="J1369" s="9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7"/>
      <c r="B1370" s="8"/>
      <c r="C1370" s="8"/>
      <c r="D1370" s="8"/>
      <c r="E1370" s="8"/>
      <c r="F1370" s="8"/>
      <c r="G1370" s="8"/>
      <c r="H1370" s="8"/>
      <c r="I1370" s="9"/>
      <c r="J1370" s="9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7"/>
      <c r="B1371" s="8"/>
      <c r="C1371" s="8"/>
      <c r="D1371" s="8"/>
      <c r="E1371" s="8"/>
      <c r="F1371" s="8"/>
      <c r="G1371" s="8"/>
      <c r="H1371" s="8"/>
      <c r="I1371" s="9"/>
      <c r="J1371" s="9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7"/>
      <c r="B1372" s="8"/>
      <c r="C1372" s="8"/>
      <c r="D1372" s="8"/>
      <c r="E1372" s="8"/>
      <c r="F1372" s="8"/>
      <c r="G1372" s="8"/>
      <c r="H1372" s="8"/>
      <c r="I1372" s="9"/>
      <c r="J1372" s="9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7"/>
      <c r="B1373" s="8"/>
      <c r="C1373" s="8"/>
      <c r="D1373" s="8"/>
      <c r="E1373" s="8"/>
      <c r="F1373" s="8"/>
      <c r="G1373" s="8"/>
      <c r="H1373" s="8"/>
      <c r="I1373" s="9"/>
      <c r="J1373" s="9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7"/>
      <c r="B1374" s="8"/>
      <c r="C1374" s="8"/>
      <c r="D1374" s="8"/>
      <c r="E1374" s="8"/>
      <c r="F1374" s="8"/>
      <c r="G1374" s="8"/>
      <c r="H1374" s="8"/>
      <c r="I1374" s="9"/>
      <c r="J1374" s="9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7"/>
      <c r="B1375" s="8"/>
      <c r="C1375" s="8"/>
      <c r="D1375" s="8"/>
      <c r="E1375" s="8"/>
      <c r="F1375" s="8"/>
      <c r="G1375" s="8"/>
      <c r="H1375" s="8"/>
      <c r="I1375" s="9"/>
      <c r="J1375" s="9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7"/>
      <c r="B1376" s="8"/>
      <c r="C1376" s="8"/>
      <c r="D1376" s="8"/>
      <c r="E1376" s="8"/>
      <c r="F1376" s="8"/>
      <c r="G1376" s="8"/>
      <c r="H1376" s="8"/>
      <c r="I1376" s="9"/>
      <c r="J1376" s="9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7"/>
      <c r="B1377" s="8"/>
      <c r="C1377" s="8"/>
      <c r="D1377" s="8"/>
      <c r="E1377" s="8"/>
      <c r="F1377" s="8"/>
      <c r="G1377" s="8"/>
      <c r="H1377" s="8"/>
      <c r="I1377" s="9"/>
      <c r="J1377" s="9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7"/>
      <c r="B1378" s="8"/>
      <c r="C1378" s="8"/>
      <c r="D1378" s="8"/>
      <c r="E1378" s="8"/>
      <c r="F1378" s="8"/>
      <c r="G1378" s="8"/>
      <c r="H1378" s="8"/>
      <c r="I1378" s="9"/>
      <c r="J1378" s="9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7"/>
      <c r="B1379" s="8"/>
      <c r="C1379" s="8"/>
      <c r="D1379" s="8"/>
      <c r="E1379" s="8"/>
      <c r="F1379" s="8"/>
      <c r="G1379" s="8"/>
      <c r="H1379" s="8"/>
      <c r="I1379" s="9"/>
      <c r="J1379" s="9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7"/>
      <c r="B1380" s="8"/>
      <c r="C1380" s="8"/>
      <c r="D1380" s="8"/>
      <c r="E1380" s="8"/>
      <c r="F1380" s="8"/>
      <c r="G1380" s="8"/>
      <c r="H1380" s="8"/>
      <c r="I1380" s="9"/>
      <c r="J1380" s="9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7"/>
      <c r="B1381" s="8"/>
      <c r="C1381" s="8"/>
      <c r="D1381" s="8"/>
      <c r="E1381" s="8"/>
      <c r="F1381" s="8"/>
      <c r="G1381" s="8"/>
      <c r="H1381" s="8"/>
      <c r="I1381" s="9"/>
      <c r="J1381" s="9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7"/>
      <c r="B1382" s="8"/>
      <c r="C1382" s="8"/>
      <c r="D1382" s="8"/>
      <c r="E1382" s="8"/>
      <c r="F1382" s="8"/>
      <c r="G1382" s="8"/>
      <c r="H1382" s="8"/>
      <c r="I1382" s="9"/>
      <c r="J1382" s="9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7"/>
      <c r="B1383" s="8"/>
      <c r="C1383" s="8"/>
      <c r="D1383" s="8"/>
      <c r="E1383" s="8"/>
      <c r="F1383" s="8"/>
      <c r="G1383" s="8"/>
      <c r="H1383" s="8"/>
      <c r="I1383" s="9"/>
      <c r="J1383" s="9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7"/>
      <c r="B1384" s="8"/>
      <c r="C1384" s="8"/>
      <c r="D1384" s="8"/>
      <c r="E1384" s="8"/>
      <c r="F1384" s="8"/>
      <c r="G1384" s="8"/>
      <c r="H1384" s="8"/>
      <c r="I1384" s="9"/>
      <c r="J1384" s="9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7"/>
      <c r="B1385" s="8"/>
      <c r="C1385" s="8"/>
      <c r="D1385" s="8"/>
      <c r="E1385" s="8"/>
      <c r="F1385" s="8"/>
      <c r="G1385" s="8"/>
      <c r="H1385" s="8"/>
      <c r="I1385" s="9"/>
      <c r="J1385" s="9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7"/>
      <c r="B1386" s="8"/>
      <c r="C1386" s="8"/>
      <c r="D1386" s="8"/>
      <c r="E1386" s="8"/>
      <c r="F1386" s="8"/>
      <c r="G1386" s="8"/>
      <c r="H1386" s="8"/>
      <c r="I1386" s="9"/>
      <c r="J1386" s="9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7"/>
      <c r="B1387" s="8"/>
      <c r="C1387" s="8"/>
      <c r="D1387" s="8"/>
      <c r="E1387" s="8"/>
      <c r="F1387" s="8"/>
      <c r="G1387" s="8"/>
      <c r="H1387" s="8"/>
      <c r="I1387" s="9"/>
      <c r="J1387" s="9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7"/>
      <c r="B1388" s="8"/>
      <c r="C1388" s="8"/>
      <c r="D1388" s="8"/>
      <c r="E1388" s="8"/>
      <c r="F1388" s="8"/>
      <c r="G1388" s="8"/>
      <c r="H1388" s="8"/>
      <c r="I1388" s="9"/>
      <c r="J1388" s="9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7"/>
      <c r="B1389" s="8"/>
      <c r="C1389" s="8"/>
      <c r="D1389" s="8"/>
      <c r="E1389" s="8"/>
      <c r="F1389" s="8"/>
      <c r="G1389" s="8"/>
      <c r="H1389" s="8"/>
      <c r="I1389" s="9"/>
      <c r="J1389" s="9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7"/>
      <c r="B1390" s="8"/>
      <c r="C1390" s="8"/>
      <c r="D1390" s="8"/>
      <c r="E1390" s="8"/>
      <c r="F1390" s="8"/>
      <c r="G1390" s="8"/>
      <c r="H1390" s="8"/>
      <c r="I1390" s="9"/>
      <c r="J1390" s="9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7"/>
      <c r="B1391" s="8"/>
      <c r="C1391" s="8"/>
      <c r="D1391" s="8"/>
      <c r="E1391" s="8"/>
      <c r="F1391" s="8"/>
      <c r="G1391" s="8"/>
      <c r="H1391" s="8"/>
      <c r="I1391" s="9"/>
      <c r="J1391" s="9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7"/>
      <c r="B1392" s="8"/>
      <c r="C1392" s="8"/>
      <c r="D1392" s="8"/>
      <c r="E1392" s="8"/>
      <c r="F1392" s="8"/>
      <c r="G1392" s="8"/>
      <c r="H1392" s="8"/>
      <c r="I1392" s="9"/>
      <c r="J1392" s="9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7"/>
      <c r="B1393" s="8"/>
      <c r="C1393" s="8"/>
      <c r="D1393" s="8"/>
      <c r="E1393" s="8"/>
      <c r="F1393" s="8"/>
      <c r="G1393" s="8"/>
      <c r="H1393" s="8"/>
      <c r="I1393" s="9"/>
      <c r="J1393" s="9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7"/>
      <c r="B1394" s="8"/>
      <c r="C1394" s="8"/>
      <c r="D1394" s="8"/>
      <c r="E1394" s="8"/>
      <c r="F1394" s="8"/>
      <c r="G1394" s="8"/>
      <c r="H1394" s="8"/>
      <c r="I1394" s="9"/>
      <c r="J1394" s="9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7"/>
      <c r="B1395" s="8"/>
      <c r="C1395" s="8"/>
      <c r="D1395" s="8"/>
      <c r="E1395" s="8"/>
      <c r="F1395" s="8"/>
      <c r="G1395" s="8"/>
      <c r="H1395" s="8"/>
      <c r="I1395" s="9"/>
      <c r="J1395" s="9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7"/>
      <c r="B1396" s="8"/>
      <c r="C1396" s="8"/>
      <c r="D1396" s="8"/>
      <c r="E1396" s="8"/>
      <c r="F1396" s="8"/>
      <c r="G1396" s="8"/>
      <c r="H1396" s="8"/>
      <c r="I1396" s="9"/>
      <c r="J1396" s="9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7"/>
      <c r="B1397" s="8"/>
      <c r="C1397" s="8"/>
      <c r="D1397" s="8"/>
      <c r="E1397" s="8"/>
      <c r="F1397" s="8"/>
      <c r="G1397" s="8"/>
      <c r="H1397" s="8"/>
      <c r="I1397" s="9"/>
      <c r="J1397" s="9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7"/>
      <c r="B1398" s="8"/>
      <c r="C1398" s="8"/>
      <c r="D1398" s="8"/>
      <c r="E1398" s="8"/>
      <c r="F1398" s="8"/>
      <c r="G1398" s="8"/>
      <c r="H1398" s="8"/>
      <c r="I1398" s="9"/>
      <c r="J1398" s="9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7"/>
      <c r="B1399" s="8"/>
      <c r="C1399" s="8"/>
      <c r="D1399" s="8"/>
      <c r="E1399" s="8"/>
      <c r="F1399" s="8"/>
      <c r="G1399" s="8"/>
      <c r="H1399" s="8"/>
      <c r="I1399" s="9"/>
      <c r="J1399" s="9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7"/>
      <c r="B1400" s="8"/>
      <c r="C1400" s="8"/>
      <c r="D1400" s="8"/>
      <c r="E1400" s="8"/>
      <c r="F1400" s="8"/>
      <c r="G1400" s="8"/>
      <c r="H1400" s="8"/>
      <c r="I1400" s="9"/>
      <c r="J1400" s="9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7"/>
      <c r="B1401" s="8"/>
      <c r="C1401" s="8"/>
      <c r="D1401" s="8"/>
      <c r="E1401" s="8"/>
      <c r="F1401" s="8"/>
      <c r="G1401" s="8"/>
      <c r="H1401" s="8"/>
      <c r="I1401" s="9"/>
      <c r="J1401" s="9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7"/>
      <c r="B1402" s="8"/>
      <c r="C1402" s="8"/>
      <c r="D1402" s="8"/>
      <c r="E1402" s="8"/>
      <c r="F1402" s="8"/>
      <c r="G1402" s="8"/>
      <c r="H1402" s="8"/>
      <c r="I1402" s="9"/>
      <c r="J1402" s="9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7"/>
      <c r="B1403" s="8"/>
      <c r="C1403" s="8"/>
      <c r="D1403" s="8"/>
      <c r="E1403" s="8"/>
      <c r="F1403" s="8"/>
      <c r="G1403" s="8"/>
      <c r="H1403" s="8"/>
      <c r="I1403" s="9"/>
      <c r="J1403" s="9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7"/>
      <c r="B1404" s="8"/>
      <c r="C1404" s="8"/>
      <c r="D1404" s="8"/>
      <c r="E1404" s="8"/>
      <c r="F1404" s="8"/>
      <c r="G1404" s="8"/>
      <c r="H1404" s="8"/>
      <c r="I1404" s="9"/>
      <c r="J1404" s="9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7"/>
      <c r="B1405" s="8"/>
      <c r="C1405" s="8"/>
      <c r="D1405" s="8"/>
      <c r="E1405" s="8"/>
      <c r="F1405" s="8"/>
      <c r="G1405" s="8"/>
      <c r="H1405" s="8"/>
      <c r="I1405" s="9"/>
      <c r="J1405" s="9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7"/>
      <c r="B1406" s="8"/>
      <c r="C1406" s="8"/>
      <c r="D1406" s="8"/>
      <c r="E1406" s="8"/>
      <c r="F1406" s="8"/>
      <c r="G1406" s="8"/>
      <c r="H1406" s="8"/>
      <c r="I1406" s="9"/>
      <c r="J1406" s="9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7"/>
      <c r="B1407" s="8"/>
      <c r="C1407" s="8"/>
      <c r="D1407" s="8"/>
      <c r="E1407" s="8"/>
      <c r="F1407" s="8"/>
      <c r="G1407" s="8"/>
      <c r="H1407" s="8"/>
      <c r="I1407" s="9"/>
      <c r="J1407" s="9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7"/>
      <c r="B1408" s="8"/>
      <c r="C1408" s="8"/>
      <c r="D1408" s="8"/>
      <c r="E1408" s="8"/>
      <c r="F1408" s="8"/>
      <c r="G1408" s="8"/>
      <c r="H1408" s="8"/>
      <c r="I1408" s="9"/>
      <c r="J1408" s="9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7"/>
      <c r="B1409" s="8"/>
      <c r="C1409" s="8"/>
      <c r="D1409" s="8"/>
      <c r="E1409" s="8"/>
      <c r="F1409" s="8"/>
      <c r="G1409" s="8"/>
      <c r="H1409" s="8"/>
      <c r="I1409" s="9"/>
      <c r="J1409" s="9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7"/>
      <c r="B1410" s="8"/>
      <c r="C1410" s="8"/>
      <c r="D1410" s="8"/>
      <c r="E1410" s="8"/>
      <c r="F1410" s="8"/>
      <c r="G1410" s="8"/>
      <c r="H1410" s="8"/>
      <c r="I1410" s="9"/>
      <c r="J1410" s="9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7"/>
      <c r="B1411" s="8"/>
      <c r="C1411" s="8"/>
      <c r="D1411" s="8"/>
      <c r="E1411" s="8"/>
      <c r="F1411" s="8"/>
      <c r="G1411" s="8"/>
      <c r="H1411" s="8"/>
      <c r="I1411" s="9"/>
      <c r="J1411" s="9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7"/>
      <c r="B1412" s="8"/>
      <c r="C1412" s="8"/>
      <c r="D1412" s="8"/>
      <c r="E1412" s="8"/>
      <c r="F1412" s="8"/>
      <c r="G1412" s="8"/>
      <c r="H1412" s="8"/>
      <c r="I1412" s="9"/>
      <c r="J1412" s="9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7"/>
      <c r="B1413" s="8"/>
      <c r="C1413" s="8"/>
      <c r="D1413" s="8"/>
      <c r="E1413" s="8"/>
      <c r="F1413" s="8"/>
      <c r="G1413" s="8"/>
      <c r="H1413" s="8"/>
      <c r="I1413" s="9"/>
      <c r="J1413" s="9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7"/>
      <c r="B1414" s="8"/>
      <c r="C1414" s="8"/>
      <c r="D1414" s="8"/>
      <c r="E1414" s="8"/>
      <c r="F1414" s="8"/>
      <c r="G1414" s="8"/>
      <c r="H1414" s="8"/>
      <c r="I1414" s="9"/>
      <c r="J1414" s="9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7"/>
      <c r="B1415" s="8"/>
      <c r="C1415" s="8"/>
      <c r="D1415" s="8"/>
      <c r="E1415" s="8"/>
      <c r="F1415" s="8"/>
      <c r="G1415" s="8"/>
      <c r="H1415" s="8"/>
      <c r="I1415" s="9"/>
      <c r="J1415" s="9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7"/>
      <c r="B1416" s="8"/>
      <c r="C1416" s="8"/>
      <c r="D1416" s="8"/>
      <c r="E1416" s="8"/>
      <c r="F1416" s="8"/>
      <c r="G1416" s="8"/>
      <c r="H1416" s="8"/>
      <c r="I1416" s="9"/>
      <c r="J1416" s="9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7"/>
      <c r="B1417" s="8"/>
      <c r="C1417" s="8"/>
      <c r="D1417" s="8"/>
      <c r="E1417" s="8"/>
      <c r="F1417" s="8"/>
      <c r="G1417" s="8"/>
      <c r="H1417" s="8"/>
      <c r="I1417" s="9"/>
      <c r="J1417" s="9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7"/>
      <c r="B1418" s="8"/>
      <c r="C1418" s="8"/>
      <c r="D1418" s="8"/>
      <c r="E1418" s="8"/>
      <c r="F1418" s="8"/>
      <c r="G1418" s="8"/>
      <c r="H1418" s="8"/>
      <c r="I1418" s="9"/>
      <c r="J1418" s="9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7"/>
      <c r="B1419" s="8"/>
      <c r="C1419" s="8"/>
      <c r="D1419" s="8"/>
      <c r="E1419" s="8"/>
      <c r="F1419" s="8"/>
      <c r="G1419" s="8"/>
      <c r="H1419" s="8"/>
      <c r="I1419" s="9"/>
      <c r="J1419" s="9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7"/>
      <c r="B1420" s="8"/>
      <c r="C1420" s="8"/>
      <c r="D1420" s="8"/>
      <c r="E1420" s="8"/>
      <c r="F1420" s="8"/>
      <c r="G1420" s="8"/>
      <c r="H1420" s="8"/>
      <c r="I1420" s="9"/>
      <c r="J1420" s="9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7"/>
      <c r="B1421" s="8"/>
      <c r="C1421" s="8"/>
      <c r="D1421" s="8"/>
      <c r="E1421" s="8"/>
      <c r="F1421" s="8"/>
      <c r="G1421" s="8"/>
      <c r="H1421" s="8"/>
      <c r="I1421" s="9"/>
      <c r="J1421" s="9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7"/>
      <c r="B1422" s="8"/>
      <c r="C1422" s="8"/>
      <c r="D1422" s="8"/>
      <c r="E1422" s="8"/>
      <c r="F1422" s="8"/>
      <c r="G1422" s="8"/>
      <c r="H1422" s="8"/>
      <c r="I1422" s="9"/>
      <c r="J1422" s="9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7"/>
      <c r="B1423" s="8"/>
      <c r="C1423" s="8"/>
      <c r="D1423" s="8"/>
      <c r="E1423" s="8"/>
      <c r="F1423" s="8"/>
      <c r="G1423" s="8"/>
      <c r="H1423" s="8"/>
      <c r="I1423" s="9"/>
      <c r="J1423" s="9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7"/>
      <c r="B1424" s="8"/>
      <c r="C1424" s="8"/>
      <c r="D1424" s="8"/>
      <c r="E1424" s="8"/>
      <c r="F1424" s="8"/>
      <c r="G1424" s="8"/>
      <c r="H1424" s="8"/>
      <c r="I1424" s="9"/>
      <c r="J1424" s="9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7"/>
      <c r="B1425" s="8"/>
      <c r="C1425" s="8"/>
      <c r="D1425" s="8"/>
      <c r="E1425" s="8"/>
      <c r="F1425" s="8"/>
      <c r="G1425" s="8"/>
      <c r="H1425" s="8"/>
      <c r="I1425" s="9"/>
      <c r="J1425" s="9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7"/>
      <c r="B1426" s="8"/>
      <c r="C1426" s="8"/>
      <c r="D1426" s="8"/>
      <c r="E1426" s="8"/>
      <c r="F1426" s="8"/>
      <c r="G1426" s="8"/>
      <c r="H1426" s="8"/>
      <c r="I1426" s="9"/>
      <c r="J1426" s="9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7"/>
      <c r="B1427" s="8"/>
      <c r="C1427" s="8"/>
      <c r="D1427" s="8"/>
      <c r="E1427" s="8"/>
      <c r="F1427" s="8"/>
      <c r="G1427" s="8"/>
      <c r="H1427" s="8"/>
      <c r="I1427" s="9"/>
      <c r="J1427" s="9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7"/>
      <c r="B1428" s="8"/>
      <c r="C1428" s="8"/>
      <c r="D1428" s="8"/>
      <c r="E1428" s="8"/>
      <c r="F1428" s="8"/>
      <c r="G1428" s="8"/>
      <c r="H1428" s="8"/>
      <c r="I1428" s="9"/>
      <c r="J1428" s="9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7"/>
      <c r="B1429" s="8"/>
      <c r="C1429" s="8"/>
      <c r="D1429" s="8"/>
      <c r="E1429" s="8"/>
      <c r="F1429" s="8"/>
      <c r="G1429" s="8"/>
      <c r="H1429" s="8"/>
      <c r="I1429" s="9"/>
      <c r="J1429" s="9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7"/>
      <c r="B1430" s="8"/>
      <c r="C1430" s="8"/>
      <c r="D1430" s="8"/>
      <c r="E1430" s="8"/>
      <c r="F1430" s="8"/>
      <c r="G1430" s="8"/>
      <c r="H1430" s="8"/>
      <c r="I1430" s="9"/>
      <c r="J1430" s="9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7"/>
      <c r="B1431" s="8"/>
      <c r="C1431" s="8"/>
      <c r="D1431" s="8"/>
      <c r="E1431" s="8"/>
      <c r="F1431" s="8"/>
      <c r="G1431" s="8"/>
      <c r="H1431" s="8"/>
      <c r="I1431" s="9"/>
      <c r="J1431" s="9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7"/>
      <c r="B1432" s="8"/>
      <c r="C1432" s="8"/>
      <c r="D1432" s="8"/>
      <c r="E1432" s="8"/>
      <c r="F1432" s="8"/>
      <c r="G1432" s="8"/>
      <c r="H1432" s="8"/>
      <c r="I1432" s="9"/>
      <c r="J1432" s="9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7"/>
      <c r="B1433" s="8"/>
      <c r="C1433" s="8"/>
      <c r="D1433" s="8"/>
      <c r="E1433" s="8"/>
      <c r="F1433" s="8"/>
      <c r="G1433" s="8"/>
      <c r="H1433" s="8"/>
      <c r="I1433" s="9"/>
      <c r="J1433" s="9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7"/>
      <c r="B1434" s="8"/>
      <c r="C1434" s="8"/>
      <c r="D1434" s="8"/>
      <c r="E1434" s="8"/>
      <c r="F1434" s="8"/>
      <c r="G1434" s="8"/>
      <c r="H1434" s="8"/>
      <c r="I1434" s="9"/>
      <c r="J1434" s="9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7"/>
      <c r="B1435" s="8"/>
      <c r="C1435" s="8"/>
      <c r="D1435" s="8"/>
      <c r="E1435" s="8"/>
      <c r="F1435" s="8"/>
      <c r="G1435" s="8"/>
      <c r="H1435" s="8"/>
      <c r="I1435" s="9"/>
      <c r="J1435" s="9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7"/>
      <c r="B1436" s="8"/>
      <c r="C1436" s="8"/>
      <c r="D1436" s="8"/>
      <c r="E1436" s="8"/>
      <c r="F1436" s="8"/>
      <c r="G1436" s="8"/>
      <c r="H1436" s="8"/>
      <c r="I1436" s="9"/>
      <c r="J1436" s="9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7"/>
      <c r="B1437" s="8"/>
      <c r="C1437" s="8"/>
      <c r="D1437" s="8"/>
      <c r="E1437" s="8"/>
      <c r="F1437" s="8"/>
      <c r="G1437" s="8"/>
      <c r="H1437" s="8"/>
      <c r="I1437" s="9"/>
      <c r="J1437" s="9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7"/>
      <c r="B1438" s="8"/>
      <c r="C1438" s="8"/>
      <c r="D1438" s="8"/>
      <c r="E1438" s="8"/>
      <c r="F1438" s="8"/>
      <c r="G1438" s="8"/>
      <c r="H1438" s="8"/>
      <c r="I1438" s="9"/>
      <c r="J1438" s="9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7"/>
      <c r="B1439" s="8"/>
      <c r="C1439" s="8"/>
      <c r="D1439" s="8"/>
      <c r="E1439" s="8"/>
      <c r="F1439" s="8"/>
      <c r="G1439" s="8"/>
      <c r="H1439" s="8"/>
      <c r="I1439" s="9"/>
      <c r="J1439" s="9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7"/>
      <c r="B1440" s="8"/>
      <c r="C1440" s="8"/>
      <c r="D1440" s="8"/>
      <c r="E1440" s="8"/>
      <c r="F1440" s="8"/>
      <c r="G1440" s="8"/>
      <c r="H1440" s="8"/>
      <c r="I1440" s="9"/>
      <c r="J1440" s="9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7"/>
      <c r="B1441" s="8"/>
      <c r="C1441" s="8"/>
      <c r="D1441" s="8"/>
      <c r="E1441" s="8"/>
      <c r="F1441" s="8"/>
      <c r="G1441" s="8"/>
      <c r="H1441" s="8"/>
      <c r="I1441" s="9"/>
      <c r="J1441" s="9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7"/>
      <c r="B1442" s="8"/>
      <c r="C1442" s="8"/>
      <c r="D1442" s="8"/>
      <c r="E1442" s="8"/>
      <c r="F1442" s="8"/>
      <c r="G1442" s="8"/>
      <c r="H1442" s="8"/>
      <c r="I1442" s="9"/>
      <c r="J1442" s="9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7"/>
      <c r="B1443" s="8"/>
      <c r="C1443" s="8"/>
      <c r="D1443" s="8"/>
      <c r="E1443" s="8"/>
      <c r="F1443" s="8"/>
      <c r="G1443" s="8"/>
      <c r="H1443" s="8"/>
      <c r="I1443" s="9"/>
      <c r="J1443" s="9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7"/>
      <c r="B1444" s="8"/>
      <c r="C1444" s="8"/>
      <c r="D1444" s="8"/>
      <c r="E1444" s="8"/>
      <c r="F1444" s="8"/>
      <c r="G1444" s="8"/>
      <c r="H1444" s="8"/>
      <c r="I1444" s="9"/>
      <c r="J1444" s="9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7"/>
      <c r="B1445" s="8"/>
      <c r="C1445" s="8"/>
      <c r="D1445" s="8"/>
      <c r="E1445" s="8"/>
      <c r="F1445" s="8"/>
      <c r="G1445" s="8"/>
      <c r="H1445" s="8"/>
      <c r="I1445" s="9"/>
      <c r="J1445" s="9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7"/>
      <c r="B1446" s="8"/>
      <c r="C1446" s="8"/>
      <c r="D1446" s="8"/>
      <c r="E1446" s="8"/>
      <c r="F1446" s="8"/>
      <c r="G1446" s="8"/>
      <c r="H1446" s="8"/>
      <c r="I1446" s="9"/>
      <c r="J1446" s="9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7"/>
      <c r="B1447" s="8"/>
      <c r="C1447" s="8"/>
      <c r="D1447" s="8"/>
      <c r="E1447" s="8"/>
      <c r="F1447" s="8"/>
      <c r="G1447" s="8"/>
      <c r="H1447" s="8"/>
      <c r="I1447" s="9"/>
      <c r="J1447" s="9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7"/>
      <c r="B1448" s="8"/>
      <c r="C1448" s="8"/>
      <c r="D1448" s="8"/>
      <c r="E1448" s="8"/>
      <c r="F1448" s="8"/>
      <c r="G1448" s="8"/>
      <c r="H1448" s="8"/>
      <c r="I1448" s="9"/>
      <c r="J1448" s="9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7"/>
      <c r="B1449" s="8"/>
      <c r="C1449" s="8"/>
      <c r="D1449" s="8"/>
      <c r="E1449" s="8"/>
      <c r="F1449" s="8"/>
      <c r="G1449" s="8"/>
      <c r="H1449" s="8"/>
      <c r="I1449" s="9"/>
      <c r="J1449" s="9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7"/>
      <c r="B1450" s="8"/>
      <c r="C1450" s="8"/>
      <c r="D1450" s="8"/>
      <c r="E1450" s="8"/>
      <c r="F1450" s="8"/>
      <c r="G1450" s="8"/>
      <c r="H1450" s="8"/>
      <c r="I1450" s="9"/>
      <c r="J1450" s="9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7"/>
      <c r="B1451" s="8"/>
      <c r="C1451" s="8"/>
      <c r="D1451" s="8"/>
      <c r="E1451" s="8"/>
      <c r="F1451" s="8"/>
      <c r="G1451" s="8"/>
      <c r="H1451" s="8"/>
      <c r="I1451" s="9"/>
      <c r="J1451" s="9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7"/>
      <c r="B1452" s="8"/>
      <c r="C1452" s="8"/>
      <c r="D1452" s="8"/>
      <c r="E1452" s="8"/>
      <c r="F1452" s="8"/>
      <c r="G1452" s="8"/>
      <c r="H1452" s="8"/>
      <c r="I1452" s="9"/>
      <c r="J1452" s="9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7"/>
      <c r="B1453" s="8"/>
      <c r="C1453" s="8"/>
      <c r="D1453" s="8"/>
      <c r="E1453" s="8"/>
      <c r="F1453" s="8"/>
      <c r="G1453" s="8"/>
      <c r="H1453" s="8"/>
      <c r="I1453" s="9"/>
      <c r="J1453" s="9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7"/>
      <c r="B1454" s="8"/>
      <c r="C1454" s="8"/>
      <c r="D1454" s="8"/>
      <c r="E1454" s="8"/>
      <c r="F1454" s="8"/>
      <c r="G1454" s="8"/>
      <c r="H1454" s="8"/>
      <c r="I1454" s="9"/>
      <c r="J1454" s="9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7"/>
      <c r="B1455" s="8"/>
      <c r="C1455" s="8"/>
      <c r="D1455" s="8"/>
      <c r="E1455" s="8"/>
      <c r="F1455" s="8"/>
      <c r="G1455" s="8"/>
      <c r="H1455" s="8"/>
      <c r="I1455" s="9"/>
      <c r="J1455" s="9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7"/>
      <c r="B1456" s="8"/>
      <c r="C1456" s="8"/>
      <c r="D1456" s="8"/>
      <c r="E1456" s="8"/>
      <c r="F1456" s="8"/>
      <c r="G1456" s="8"/>
      <c r="H1456" s="8"/>
      <c r="I1456" s="9"/>
      <c r="J1456" s="9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7"/>
      <c r="B1457" s="8"/>
      <c r="C1457" s="8"/>
      <c r="D1457" s="8"/>
      <c r="E1457" s="8"/>
      <c r="F1457" s="8"/>
      <c r="G1457" s="8"/>
      <c r="H1457" s="8"/>
      <c r="I1457" s="9"/>
      <c r="J1457" s="9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7"/>
      <c r="B1458" s="8"/>
      <c r="C1458" s="8"/>
      <c r="D1458" s="8"/>
      <c r="E1458" s="8"/>
      <c r="F1458" s="8"/>
      <c r="G1458" s="8"/>
      <c r="H1458" s="8"/>
      <c r="I1458" s="9"/>
      <c r="J1458" s="9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7"/>
      <c r="B1459" s="8"/>
      <c r="C1459" s="8"/>
      <c r="D1459" s="8"/>
      <c r="E1459" s="8"/>
      <c r="F1459" s="8"/>
      <c r="G1459" s="8"/>
      <c r="H1459" s="8"/>
      <c r="I1459" s="9"/>
      <c r="J1459" s="9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7"/>
      <c r="B1460" s="8"/>
      <c r="C1460" s="8"/>
      <c r="D1460" s="8"/>
      <c r="E1460" s="8"/>
      <c r="F1460" s="8"/>
      <c r="G1460" s="8"/>
      <c r="H1460" s="8"/>
      <c r="I1460" s="9"/>
      <c r="J1460" s="9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7"/>
      <c r="B1461" s="8"/>
      <c r="C1461" s="8"/>
      <c r="D1461" s="8"/>
      <c r="E1461" s="8"/>
      <c r="F1461" s="8"/>
      <c r="G1461" s="8"/>
      <c r="H1461" s="8"/>
      <c r="I1461" s="9"/>
      <c r="J1461" s="9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7"/>
      <c r="B1462" s="8"/>
      <c r="C1462" s="8"/>
      <c r="D1462" s="8"/>
      <c r="E1462" s="8"/>
      <c r="F1462" s="8"/>
      <c r="G1462" s="8"/>
      <c r="H1462" s="8"/>
      <c r="I1462" s="9"/>
      <c r="J1462" s="9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7"/>
      <c r="B1463" s="8"/>
      <c r="C1463" s="8"/>
      <c r="D1463" s="8"/>
      <c r="E1463" s="8"/>
      <c r="F1463" s="8"/>
      <c r="G1463" s="8"/>
      <c r="H1463" s="8"/>
      <c r="I1463" s="9"/>
      <c r="J1463" s="9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7"/>
      <c r="B1464" s="8"/>
      <c r="C1464" s="8"/>
      <c r="D1464" s="8"/>
      <c r="E1464" s="8"/>
      <c r="F1464" s="8"/>
      <c r="G1464" s="8"/>
      <c r="H1464" s="8"/>
      <c r="I1464" s="9"/>
      <c r="J1464" s="9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7"/>
      <c r="B1465" s="8"/>
      <c r="C1465" s="8"/>
      <c r="D1465" s="8"/>
      <c r="E1465" s="8"/>
      <c r="F1465" s="8"/>
      <c r="G1465" s="8"/>
      <c r="H1465" s="8"/>
      <c r="I1465" s="9"/>
      <c r="J1465" s="9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7"/>
      <c r="B1466" s="8"/>
      <c r="C1466" s="8"/>
      <c r="D1466" s="8"/>
      <c r="E1466" s="8"/>
      <c r="F1466" s="8"/>
      <c r="G1466" s="8"/>
      <c r="H1466" s="8"/>
      <c r="I1466" s="9"/>
      <c r="J1466" s="9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7"/>
      <c r="B1467" s="8"/>
      <c r="C1467" s="8"/>
      <c r="D1467" s="8"/>
      <c r="E1467" s="8"/>
      <c r="F1467" s="8"/>
      <c r="G1467" s="8"/>
      <c r="H1467" s="8"/>
      <c r="I1467" s="9"/>
      <c r="J1467" s="9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7"/>
      <c r="B1468" s="8"/>
      <c r="C1468" s="8"/>
      <c r="D1468" s="8"/>
      <c r="E1468" s="8"/>
      <c r="F1468" s="8"/>
      <c r="G1468" s="8"/>
      <c r="H1468" s="8"/>
      <c r="I1468" s="9"/>
      <c r="J1468" s="9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7"/>
      <c r="B1469" s="8"/>
      <c r="C1469" s="8"/>
      <c r="D1469" s="8"/>
      <c r="E1469" s="8"/>
      <c r="F1469" s="8"/>
      <c r="G1469" s="8"/>
      <c r="H1469" s="8"/>
      <c r="I1469" s="9"/>
      <c r="J1469" s="9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7"/>
      <c r="B1470" s="8"/>
      <c r="C1470" s="8"/>
      <c r="D1470" s="8"/>
      <c r="E1470" s="8"/>
      <c r="F1470" s="8"/>
      <c r="G1470" s="8"/>
      <c r="H1470" s="8"/>
      <c r="I1470" s="9"/>
      <c r="J1470" s="9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7"/>
      <c r="B1471" s="8"/>
      <c r="C1471" s="8"/>
      <c r="D1471" s="8"/>
      <c r="E1471" s="8"/>
      <c r="F1471" s="8"/>
      <c r="G1471" s="8"/>
      <c r="H1471" s="8"/>
      <c r="I1471" s="9"/>
      <c r="J1471" s="9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7"/>
      <c r="B1472" s="8"/>
      <c r="C1472" s="8"/>
      <c r="D1472" s="8"/>
      <c r="E1472" s="8"/>
      <c r="F1472" s="8"/>
      <c r="G1472" s="8"/>
      <c r="H1472" s="8"/>
      <c r="I1472" s="9"/>
      <c r="J1472" s="9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7"/>
      <c r="B1473" s="8"/>
      <c r="C1473" s="8"/>
      <c r="D1473" s="8"/>
      <c r="E1473" s="8"/>
      <c r="F1473" s="8"/>
      <c r="G1473" s="8"/>
      <c r="H1473" s="8"/>
      <c r="I1473" s="9"/>
      <c r="J1473" s="9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7"/>
      <c r="B1474" s="8"/>
      <c r="C1474" s="8"/>
      <c r="D1474" s="8"/>
      <c r="E1474" s="8"/>
      <c r="F1474" s="8"/>
      <c r="G1474" s="8"/>
      <c r="H1474" s="8"/>
      <c r="I1474" s="9"/>
      <c r="J1474" s="9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7"/>
      <c r="B1475" s="8"/>
      <c r="C1475" s="8"/>
      <c r="D1475" s="8"/>
      <c r="E1475" s="8"/>
      <c r="F1475" s="8"/>
      <c r="G1475" s="8"/>
      <c r="H1475" s="8"/>
      <c r="I1475" s="9"/>
      <c r="J1475" s="9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7"/>
      <c r="B1476" s="8"/>
      <c r="C1476" s="8"/>
      <c r="D1476" s="8"/>
      <c r="E1476" s="8"/>
      <c r="F1476" s="8"/>
      <c r="G1476" s="8"/>
      <c r="H1476" s="8"/>
      <c r="I1476" s="9"/>
      <c r="J1476" s="9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7"/>
      <c r="B1477" s="8"/>
      <c r="C1477" s="8"/>
      <c r="D1477" s="8"/>
      <c r="E1477" s="8"/>
      <c r="F1477" s="8"/>
      <c r="G1477" s="8"/>
      <c r="H1477" s="8"/>
      <c r="I1477" s="9"/>
      <c r="J1477" s="9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7"/>
      <c r="B1478" s="8"/>
      <c r="C1478" s="8"/>
      <c r="D1478" s="8"/>
      <c r="E1478" s="8"/>
      <c r="F1478" s="8"/>
      <c r="G1478" s="8"/>
      <c r="H1478" s="8"/>
      <c r="I1478" s="9"/>
      <c r="J1478" s="9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7"/>
      <c r="B1479" s="8"/>
      <c r="C1479" s="8"/>
      <c r="D1479" s="8"/>
      <c r="E1479" s="8"/>
      <c r="F1479" s="8"/>
      <c r="G1479" s="8"/>
      <c r="H1479" s="8"/>
      <c r="I1479" s="9"/>
      <c r="J1479" s="9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7"/>
      <c r="B1480" s="8"/>
      <c r="C1480" s="8"/>
      <c r="D1480" s="8"/>
      <c r="E1480" s="8"/>
      <c r="F1480" s="8"/>
      <c r="G1480" s="8"/>
      <c r="H1480" s="8"/>
      <c r="I1480" s="9"/>
      <c r="J1480" s="9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7"/>
      <c r="B1481" s="8"/>
      <c r="C1481" s="8"/>
      <c r="D1481" s="8"/>
      <c r="E1481" s="8"/>
      <c r="F1481" s="8"/>
      <c r="G1481" s="8"/>
      <c r="H1481" s="8"/>
      <c r="I1481" s="9"/>
      <c r="J1481" s="9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7"/>
      <c r="B1482" s="8"/>
      <c r="C1482" s="8"/>
      <c r="D1482" s="8"/>
      <c r="E1482" s="8"/>
      <c r="F1482" s="8"/>
      <c r="G1482" s="8"/>
      <c r="H1482" s="8"/>
      <c r="I1482" s="9"/>
      <c r="J1482" s="9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7"/>
      <c r="B1483" s="8"/>
      <c r="C1483" s="8"/>
      <c r="D1483" s="8"/>
      <c r="E1483" s="8"/>
      <c r="F1483" s="8"/>
      <c r="G1483" s="8"/>
      <c r="H1483" s="8"/>
      <c r="I1483" s="9"/>
      <c r="J1483" s="9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7"/>
      <c r="B1484" s="8"/>
      <c r="C1484" s="8"/>
      <c r="D1484" s="8"/>
      <c r="E1484" s="8"/>
      <c r="F1484" s="8"/>
      <c r="G1484" s="8"/>
      <c r="H1484" s="8"/>
      <c r="I1484" s="9"/>
      <c r="J1484" s="9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7"/>
      <c r="B1485" s="8"/>
      <c r="C1485" s="8"/>
      <c r="D1485" s="8"/>
      <c r="E1485" s="8"/>
      <c r="F1485" s="8"/>
      <c r="G1485" s="8"/>
      <c r="H1485" s="8"/>
      <c r="I1485" s="9"/>
      <c r="J1485" s="9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7"/>
      <c r="B1486" s="8"/>
      <c r="C1486" s="8"/>
      <c r="D1486" s="8"/>
      <c r="E1486" s="8"/>
      <c r="F1486" s="8"/>
      <c r="G1486" s="8"/>
      <c r="H1486" s="8"/>
      <c r="I1486" s="9"/>
      <c r="J1486" s="9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7"/>
      <c r="B1487" s="8"/>
      <c r="C1487" s="8"/>
      <c r="D1487" s="8"/>
      <c r="E1487" s="8"/>
      <c r="F1487" s="8"/>
      <c r="G1487" s="8"/>
      <c r="H1487" s="8"/>
      <c r="I1487" s="9"/>
      <c r="J1487" s="9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7"/>
      <c r="B1488" s="8"/>
      <c r="C1488" s="8"/>
      <c r="D1488" s="8"/>
      <c r="E1488" s="8"/>
      <c r="F1488" s="8"/>
      <c r="G1488" s="8"/>
      <c r="H1488" s="8"/>
      <c r="I1488" s="9"/>
      <c r="J1488" s="9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7"/>
      <c r="B1489" s="8"/>
      <c r="C1489" s="8"/>
      <c r="D1489" s="8"/>
      <c r="E1489" s="8"/>
      <c r="F1489" s="8"/>
      <c r="G1489" s="8"/>
      <c r="H1489" s="8"/>
      <c r="I1489" s="9"/>
      <c r="J1489" s="9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7"/>
      <c r="B1490" s="8"/>
      <c r="C1490" s="8"/>
      <c r="D1490" s="8"/>
      <c r="E1490" s="8"/>
      <c r="F1490" s="8"/>
      <c r="G1490" s="8"/>
      <c r="H1490" s="8"/>
      <c r="I1490" s="9"/>
      <c r="J1490" s="9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7"/>
      <c r="B1491" s="8"/>
      <c r="C1491" s="8"/>
      <c r="D1491" s="8"/>
      <c r="E1491" s="8"/>
      <c r="F1491" s="8"/>
      <c r="G1491" s="8"/>
      <c r="H1491" s="8"/>
      <c r="I1491" s="9"/>
      <c r="J1491" s="9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7"/>
      <c r="B1492" s="8"/>
      <c r="C1492" s="8"/>
      <c r="D1492" s="8"/>
      <c r="E1492" s="8"/>
      <c r="F1492" s="8"/>
      <c r="G1492" s="8"/>
      <c r="H1492" s="8"/>
      <c r="I1492" s="9"/>
      <c r="J1492" s="9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7"/>
      <c r="B1493" s="8"/>
      <c r="C1493" s="8"/>
      <c r="D1493" s="8"/>
      <c r="E1493" s="8"/>
      <c r="F1493" s="8"/>
      <c r="G1493" s="8"/>
      <c r="H1493" s="8"/>
      <c r="I1493" s="9"/>
      <c r="J1493" s="9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7"/>
      <c r="B1494" s="8"/>
      <c r="C1494" s="8"/>
      <c r="D1494" s="8"/>
      <c r="E1494" s="8"/>
      <c r="F1494" s="8"/>
      <c r="G1494" s="8"/>
      <c r="H1494" s="8"/>
      <c r="I1494" s="9"/>
      <c r="J1494" s="9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7"/>
      <c r="B1495" s="8"/>
      <c r="C1495" s="8"/>
      <c r="D1495" s="8"/>
      <c r="E1495" s="8"/>
      <c r="F1495" s="8"/>
      <c r="G1495" s="8"/>
      <c r="H1495" s="8"/>
      <c r="I1495" s="9"/>
      <c r="J1495" s="9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7"/>
      <c r="B1496" s="8"/>
      <c r="C1496" s="8"/>
      <c r="D1496" s="8"/>
      <c r="E1496" s="8"/>
      <c r="F1496" s="8"/>
      <c r="G1496" s="8"/>
      <c r="H1496" s="8"/>
      <c r="I1496" s="9"/>
      <c r="J1496" s="9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7"/>
      <c r="B1497" s="8"/>
      <c r="C1497" s="8"/>
      <c r="D1497" s="8"/>
      <c r="E1497" s="8"/>
      <c r="F1497" s="8"/>
      <c r="G1497" s="8"/>
      <c r="H1497" s="8"/>
      <c r="I1497" s="9"/>
      <c r="J1497" s="9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7"/>
      <c r="B1498" s="8"/>
      <c r="C1498" s="8"/>
      <c r="D1498" s="8"/>
      <c r="E1498" s="8"/>
      <c r="F1498" s="8"/>
      <c r="G1498" s="8"/>
      <c r="H1498" s="8"/>
      <c r="I1498" s="9"/>
      <c r="J1498" s="9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7"/>
      <c r="B1499" s="8"/>
      <c r="C1499" s="8"/>
      <c r="D1499" s="8"/>
      <c r="E1499" s="8"/>
      <c r="F1499" s="8"/>
      <c r="G1499" s="8"/>
      <c r="H1499" s="8"/>
      <c r="I1499" s="9"/>
      <c r="J1499" s="9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7"/>
      <c r="B1500" s="8"/>
      <c r="C1500" s="8"/>
      <c r="D1500" s="8"/>
      <c r="E1500" s="8"/>
      <c r="F1500" s="8"/>
      <c r="G1500" s="8"/>
      <c r="H1500" s="8"/>
      <c r="I1500" s="9"/>
      <c r="J1500" s="9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7"/>
      <c r="B1501" s="8"/>
      <c r="C1501" s="8"/>
      <c r="D1501" s="8"/>
      <c r="E1501" s="8"/>
      <c r="F1501" s="8"/>
      <c r="G1501" s="8"/>
      <c r="H1501" s="8"/>
      <c r="I1501" s="9"/>
      <c r="J1501" s="9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7"/>
      <c r="B1502" s="8"/>
      <c r="C1502" s="8"/>
      <c r="D1502" s="8"/>
      <c r="E1502" s="8"/>
      <c r="F1502" s="8"/>
      <c r="G1502" s="8"/>
      <c r="H1502" s="8"/>
      <c r="I1502" s="9"/>
      <c r="J1502" s="9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7"/>
      <c r="B1503" s="8"/>
      <c r="C1503" s="8"/>
      <c r="D1503" s="8"/>
      <c r="E1503" s="8"/>
      <c r="F1503" s="8"/>
      <c r="G1503" s="8"/>
      <c r="H1503" s="8"/>
      <c r="I1503" s="9"/>
      <c r="J1503" s="9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7"/>
      <c r="B1504" s="8"/>
      <c r="C1504" s="8"/>
      <c r="D1504" s="8"/>
      <c r="E1504" s="8"/>
      <c r="F1504" s="8"/>
      <c r="G1504" s="8"/>
      <c r="H1504" s="8"/>
      <c r="I1504" s="9"/>
      <c r="J1504" s="9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7"/>
      <c r="B1505" s="8"/>
      <c r="C1505" s="8"/>
      <c r="D1505" s="8"/>
      <c r="E1505" s="8"/>
      <c r="F1505" s="8"/>
      <c r="G1505" s="8"/>
      <c r="H1505" s="8"/>
      <c r="I1505" s="9"/>
      <c r="J1505" s="9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7"/>
      <c r="B1506" s="8"/>
      <c r="C1506" s="8"/>
      <c r="D1506" s="8"/>
      <c r="E1506" s="8"/>
      <c r="F1506" s="8"/>
      <c r="G1506" s="8"/>
      <c r="H1506" s="8"/>
      <c r="I1506" s="9"/>
      <c r="J1506" s="9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7"/>
      <c r="B1507" s="8"/>
      <c r="C1507" s="8"/>
      <c r="D1507" s="8"/>
      <c r="E1507" s="8"/>
      <c r="F1507" s="8"/>
      <c r="G1507" s="8"/>
      <c r="H1507" s="8"/>
      <c r="I1507" s="9"/>
      <c r="J1507" s="9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7"/>
      <c r="B1508" s="8"/>
      <c r="C1508" s="8"/>
      <c r="D1508" s="8"/>
      <c r="E1508" s="8"/>
      <c r="F1508" s="8"/>
      <c r="G1508" s="8"/>
      <c r="H1508" s="8"/>
      <c r="I1508" s="9"/>
      <c r="J1508" s="9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7"/>
      <c r="B1509" s="8"/>
      <c r="C1509" s="8"/>
      <c r="D1509" s="8"/>
      <c r="E1509" s="8"/>
      <c r="F1509" s="8"/>
      <c r="G1509" s="8"/>
      <c r="H1509" s="8"/>
      <c r="I1509" s="9"/>
      <c r="J1509" s="9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7"/>
      <c r="B1510" s="8"/>
      <c r="C1510" s="8"/>
      <c r="D1510" s="8"/>
      <c r="E1510" s="8"/>
      <c r="F1510" s="8"/>
      <c r="G1510" s="8"/>
      <c r="H1510" s="8"/>
      <c r="I1510" s="9"/>
      <c r="J1510" s="9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7"/>
      <c r="B1511" s="8"/>
      <c r="C1511" s="8"/>
      <c r="D1511" s="8"/>
      <c r="E1511" s="8"/>
      <c r="F1511" s="8"/>
      <c r="G1511" s="8"/>
      <c r="H1511" s="8"/>
      <c r="I1511" s="9"/>
      <c r="J1511" s="9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7"/>
      <c r="B1512" s="8"/>
      <c r="C1512" s="8"/>
      <c r="D1512" s="8"/>
      <c r="E1512" s="8"/>
      <c r="F1512" s="8"/>
      <c r="G1512" s="8"/>
      <c r="H1512" s="8"/>
      <c r="I1512" s="9"/>
      <c r="J1512" s="9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7"/>
      <c r="B1513" s="8"/>
      <c r="C1513" s="8"/>
      <c r="D1513" s="8"/>
      <c r="E1513" s="8"/>
      <c r="F1513" s="8"/>
      <c r="G1513" s="8"/>
      <c r="H1513" s="8"/>
      <c r="I1513" s="9"/>
      <c r="J1513" s="9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7"/>
      <c r="B1514" s="8"/>
      <c r="C1514" s="8"/>
      <c r="D1514" s="8"/>
      <c r="E1514" s="8"/>
      <c r="F1514" s="8"/>
      <c r="G1514" s="8"/>
      <c r="H1514" s="8"/>
      <c r="I1514" s="9"/>
      <c r="J1514" s="9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7"/>
      <c r="B1515" s="8"/>
      <c r="C1515" s="8"/>
      <c r="D1515" s="8"/>
      <c r="E1515" s="8"/>
      <c r="F1515" s="8"/>
      <c r="G1515" s="8"/>
      <c r="H1515" s="8"/>
      <c r="I1515" s="9"/>
      <c r="J1515" s="9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7"/>
      <c r="B1516" s="8"/>
      <c r="C1516" s="8"/>
      <c r="D1516" s="8"/>
      <c r="E1516" s="8"/>
      <c r="F1516" s="8"/>
      <c r="G1516" s="8"/>
      <c r="H1516" s="8"/>
      <c r="I1516" s="9"/>
      <c r="J1516" s="9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7"/>
      <c r="B1517" s="8"/>
      <c r="C1517" s="8"/>
      <c r="D1517" s="8"/>
      <c r="E1517" s="8"/>
      <c r="F1517" s="8"/>
      <c r="G1517" s="8"/>
      <c r="H1517" s="8"/>
      <c r="I1517" s="9"/>
      <c r="J1517" s="9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7"/>
      <c r="B1518" s="8"/>
      <c r="C1518" s="8"/>
      <c r="D1518" s="8"/>
      <c r="E1518" s="8"/>
      <c r="F1518" s="8"/>
      <c r="G1518" s="8"/>
      <c r="H1518" s="8"/>
      <c r="I1518" s="9"/>
      <c r="J1518" s="9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7"/>
      <c r="B1519" s="8"/>
      <c r="C1519" s="8"/>
      <c r="D1519" s="8"/>
      <c r="E1519" s="8"/>
      <c r="F1519" s="8"/>
      <c r="G1519" s="8"/>
      <c r="H1519" s="8"/>
      <c r="I1519" s="9"/>
      <c r="J1519" s="9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7"/>
      <c r="B1520" s="8"/>
      <c r="C1520" s="8"/>
      <c r="D1520" s="8"/>
      <c r="E1520" s="8"/>
      <c r="F1520" s="8"/>
      <c r="G1520" s="8"/>
      <c r="H1520" s="8"/>
      <c r="I1520" s="9"/>
      <c r="J1520" s="9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7"/>
      <c r="B1521" s="8"/>
      <c r="C1521" s="8"/>
      <c r="D1521" s="8"/>
      <c r="E1521" s="8"/>
      <c r="F1521" s="8"/>
      <c r="G1521" s="8"/>
      <c r="H1521" s="8"/>
      <c r="I1521" s="9"/>
      <c r="J1521" s="9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7"/>
      <c r="B1522" s="8"/>
      <c r="C1522" s="8"/>
      <c r="D1522" s="8"/>
      <c r="E1522" s="8"/>
      <c r="F1522" s="8"/>
      <c r="G1522" s="8"/>
      <c r="H1522" s="8"/>
      <c r="I1522" s="9"/>
      <c r="J1522" s="9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7"/>
      <c r="B1523" s="8"/>
      <c r="C1523" s="8"/>
      <c r="D1523" s="8"/>
      <c r="E1523" s="8"/>
      <c r="F1523" s="8"/>
      <c r="G1523" s="8"/>
      <c r="H1523" s="8"/>
      <c r="I1523" s="9"/>
      <c r="J1523" s="9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7"/>
      <c r="B1524" s="8"/>
      <c r="C1524" s="8"/>
      <c r="D1524" s="8"/>
      <c r="E1524" s="8"/>
      <c r="F1524" s="8"/>
      <c r="G1524" s="8"/>
      <c r="H1524" s="8"/>
      <c r="I1524" s="9"/>
      <c r="J1524" s="9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7"/>
      <c r="B1525" s="8"/>
      <c r="C1525" s="8"/>
      <c r="D1525" s="8"/>
      <c r="E1525" s="8"/>
      <c r="F1525" s="8"/>
      <c r="G1525" s="8"/>
      <c r="H1525" s="8"/>
      <c r="I1525" s="9"/>
      <c r="J1525" s="9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7"/>
      <c r="B1526" s="8"/>
      <c r="C1526" s="8"/>
      <c r="D1526" s="8"/>
      <c r="E1526" s="8"/>
      <c r="F1526" s="8"/>
      <c r="G1526" s="8"/>
      <c r="H1526" s="8"/>
      <c r="I1526" s="9"/>
      <c r="J1526" s="9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7"/>
      <c r="B1527" s="8"/>
      <c r="C1527" s="8"/>
      <c r="D1527" s="8"/>
      <c r="E1527" s="8"/>
      <c r="F1527" s="8"/>
      <c r="G1527" s="8"/>
      <c r="H1527" s="8"/>
      <c r="I1527" s="9"/>
      <c r="J1527" s="9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7"/>
      <c r="B1528" s="8"/>
      <c r="C1528" s="8"/>
      <c r="D1528" s="8"/>
      <c r="E1528" s="8"/>
      <c r="F1528" s="8"/>
      <c r="G1528" s="8"/>
      <c r="H1528" s="8"/>
      <c r="I1528" s="9"/>
      <c r="J1528" s="9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7"/>
      <c r="B1529" s="8"/>
      <c r="C1529" s="8"/>
      <c r="D1529" s="8"/>
      <c r="E1529" s="8"/>
      <c r="F1529" s="8"/>
      <c r="G1529" s="8"/>
      <c r="H1529" s="8"/>
      <c r="I1529" s="9"/>
      <c r="J1529" s="9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7"/>
      <c r="B1530" s="8"/>
      <c r="C1530" s="8"/>
      <c r="D1530" s="8"/>
      <c r="E1530" s="8"/>
      <c r="F1530" s="8"/>
      <c r="G1530" s="8"/>
      <c r="H1530" s="8"/>
      <c r="I1530" s="9"/>
      <c r="J1530" s="9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7"/>
      <c r="B1531" s="8"/>
      <c r="C1531" s="8"/>
      <c r="D1531" s="8"/>
      <c r="E1531" s="8"/>
      <c r="F1531" s="8"/>
      <c r="G1531" s="8"/>
      <c r="H1531" s="8"/>
      <c r="I1531" s="9"/>
      <c r="J1531" s="9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7"/>
      <c r="B1532" s="8"/>
      <c r="C1532" s="8"/>
      <c r="D1532" s="8"/>
      <c r="E1532" s="8"/>
      <c r="F1532" s="8"/>
      <c r="G1532" s="8"/>
      <c r="H1532" s="8"/>
      <c r="I1532" s="9"/>
      <c r="J1532" s="9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7"/>
      <c r="B1533" s="8"/>
      <c r="C1533" s="8"/>
      <c r="D1533" s="8"/>
      <c r="E1533" s="8"/>
      <c r="F1533" s="8"/>
      <c r="G1533" s="8"/>
      <c r="H1533" s="8"/>
      <c r="I1533" s="9"/>
      <c r="J1533" s="9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7"/>
      <c r="B1534" s="8"/>
      <c r="C1534" s="8"/>
      <c r="D1534" s="8"/>
      <c r="E1534" s="8"/>
      <c r="F1534" s="8"/>
      <c r="G1534" s="8"/>
      <c r="H1534" s="8"/>
      <c r="I1534" s="9"/>
      <c r="J1534" s="9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7"/>
      <c r="B1535" s="8"/>
      <c r="C1535" s="8"/>
      <c r="D1535" s="8"/>
      <c r="E1535" s="8"/>
      <c r="F1535" s="8"/>
      <c r="G1535" s="8"/>
      <c r="H1535" s="8"/>
      <c r="I1535" s="9"/>
      <c r="J1535" s="9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7"/>
      <c r="B1536" s="8"/>
      <c r="C1536" s="8"/>
      <c r="D1536" s="8"/>
      <c r="E1536" s="8"/>
      <c r="F1536" s="8"/>
      <c r="G1536" s="8"/>
      <c r="H1536" s="8"/>
      <c r="I1536" s="9"/>
      <c r="J1536" s="9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7"/>
      <c r="B1537" s="8"/>
      <c r="C1537" s="8"/>
      <c r="D1537" s="8"/>
      <c r="E1537" s="8"/>
      <c r="F1537" s="8"/>
      <c r="G1537" s="8"/>
      <c r="H1537" s="8"/>
      <c r="I1537" s="9"/>
      <c r="J1537" s="9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7"/>
      <c r="B1538" s="8"/>
      <c r="C1538" s="8"/>
      <c r="D1538" s="8"/>
      <c r="E1538" s="8"/>
      <c r="F1538" s="8"/>
      <c r="G1538" s="8"/>
      <c r="H1538" s="8"/>
      <c r="I1538" s="9"/>
      <c r="J1538" s="9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7"/>
      <c r="B1539" s="8"/>
      <c r="C1539" s="8"/>
      <c r="D1539" s="8"/>
      <c r="E1539" s="8"/>
      <c r="F1539" s="8"/>
      <c r="G1539" s="8"/>
      <c r="H1539" s="8"/>
      <c r="I1539" s="9"/>
      <c r="J1539" s="9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7"/>
      <c r="B1540" s="8"/>
      <c r="C1540" s="8"/>
      <c r="D1540" s="8"/>
      <c r="E1540" s="8"/>
      <c r="F1540" s="8"/>
      <c r="G1540" s="8"/>
      <c r="H1540" s="8"/>
      <c r="I1540" s="9"/>
      <c r="J1540" s="9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7"/>
      <c r="B1541" s="8"/>
      <c r="C1541" s="8"/>
      <c r="D1541" s="8"/>
      <c r="E1541" s="8"/>
      <c r="F1541" s="8"/>
      <c r="G1541" s="8"/>
      <c r="H1541" s="8"/>
      <c r="I1541" s="9"/>
      <c r="J1541" s="9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7"/>
      <c r="B1542" s="8"/>
      <c r="C1542" s="8"/>
      <c r="D1542" s="8"/>
      <c r="E1542" s="8"/>
      <c r="F1542" s="8"/>
      <c r="G1542" s="8"/>
      <c r="H1542" s="8"/>
      <c r="I1542" s="9"/>
      <c r="J1542" s="9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7"/>
      <c r="B1543" s="8"/>
      <c r="C1543" s="8"/>
      <c r="D1543" s="8"/>
      <c r="E1543" s="8"/>
      <c r="F1543" s="8"/>
      <c r="G1543" s="8"/>
      <c r="H1543" s="8"/>
      <c r="I1543" s="9"/>
      <c r="J1543" s="9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7"/>
      <c r="B1544" s="8"/>
      <c r="C1544" s="8"/>
      <c r="D1544" s="8"/>
      <c r="E1544" s="8"/>
      <c r="F1544" s="8"/>
      <c r="G1544" s="8"/>
      <c r="H1544" s="8"/>
      <c r="I1544" s="9"/>
      <c r="J1544" s="9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7"/>
      <c r="B1545" s="8"/>
      <c r="C1545" s="8"/>
      <c r="D1545" s="8"/>
      <c r="E1545" s="8"/>
      <c r="F1545" s="8"/>
      <c r="G1545" s="8"/>
      <c r="H1545" s="8"/>
      <c r="I1545" s="9"/>
      <c r="J1545" s="9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7"/>
      <c r="B1546" s="8"/>
      <c r="C1546" s="8"/>
      <c r="D1546" s="8"/>
      <c r="E1546" s="8"/>
      <c r="F1546" s="8"/>
      <c r="G1546" s="8"/>
      <c r="H1546" s="8"/>
      <c r="I1546" s="9"/>
      <c r="J1546" s="9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7"/>
      <c r="B1547" s="8"/>
      <c r="C1547" s="8"/>
      <c r="D1547" s="8"/>
      <c r="E1547" s="8"/>
      <c r="F1547" s="8"/>
      <c r="G1547" s="8"/>
      <c r="H1547" s="8"/>
      <c r="I1547" s="9"/>
      <c r="J1547" s="9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7"/>
      <c r="B1548" s="8"/>
      <c r="C1548" s="8"/>
      <c r="D1548" s="8"/>
      <c r="E1548" s="8"/>
      <c r="F1548" s="8"/>
      <c r="G1548" s="8"/>
      <c r="H1548" s="8"/>
      <c r="I1548" s="9"/>
      <c r="J1548" s="9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7"/>
      <c r="B1549" s="8"/>
      <c r="C1549" s="8"/>
      <c r="D1549" s="8"/>
      <c r="E1549" s="8"/>
      <c r="F1549" s="8"/>
      <c r="G1549" s="8"/>
      <c r="H1549" s="8"/>
      <c r="I1549" s="9"/>
      <c r="J1549" s="9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7"/>
      <c r="B1550" s="8"/>
      <c r="C1550" s="8"/>
      <c r="D1550" s="8"/>
      <c r="E1550" s="8"/>
      <c r="F1550" s="8"/>
      <c r="G1550" s="8"/>
      <c r="H1550" s="8"/>
      <c r="I1550" s="9"/>
      <c r="J1550" s="9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7"/>
      <c r="B1551" s="8"/>
      <c r="C1551" s="8"/>
      <c r="D1551" s="8"/>
      <c r="E1551" s="8"/>
      <c r="F1551" s="8"/>
      <c r="G1551" s="8"/>
      <c r="H1551" s="8"/>
      <c r="I1551" s="9"/>
      <c r="J1551" s="9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7"/>
      <c r="B1552" s="8"/>
      <c r="C1552" s="8"/>
      <c r="D1552" s="8"/>
      <c r="E1552" s="8"/>
      <c r="F1552" s="8"/>
      <c r="G1552" s="8"/>
      <c r="H1552" s="8"/>
      <c r="I1552" s="9"/>
      <c r="J1552" s="9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7"/>
      <c r="B1553" s="8"/>
      <c r="C1553" s="8"/>
      <c r="D1553" s="8"/>
      <c r="E1553" s="8"/>
      <c r="F1553" s="8"/>
      <c r="G1553" s="8"/>
      <c r="H1553" s="8"/>
      <c r="I1553" s="9"/>
      <c r="J1553" s="9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7"/>
      <c r="B1554" s="8"/>
      <c r="C1554" s="8"/>
      <c r="D1554" s="8"/>
      <c r="E1554" s="8"/>
      <c r="F1554" s="8"/>
      <c r="G1554" s="8"/>
      <c r="H1554" s="8"/>
      <c r="I1554" s="9"/>
      <c r="J1554" s="9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7"/>
      <c r="B1555" s="8"/>
      <c r="C1555" s="8"/>
      <c r="D1555" s="8"/>
      <c r="E1555" s="8"/>
      <c r="F1555" s="8"/>
      <c r="G1555" s="8"/>
      <c r="H1555" s="8"/>
      <c r="I1555" s="9"/>
      <c r="J1555" s="9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7"/>
      <c r="B1556" s="8"/>
      <c r="C1556" s="8"/>
      <c r="D1556" s="8"/>
      <c r="E1556" s="8"/>
      <c r="F1556" s="8"/>
      <c r="G1556" s="8"/>
      <c r="H1556" s="8"/>
      <c r="I1556" s="9"/>
      <c r="J1556" s="9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7"/>
      <c r="B1557" s="8"/>
      <c r="C1557" s="8"/>
      <c r="D1557" s="8"/>
      <c r="E1557" s="8"/>
      <c r="F1557" s="8"/>
      <c r="G1557" s="8"/>
      <c r="H1557" s="8"/>
      <c r="I1557" s="9"/>
      <c r="J1557" s="9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7"/>
      <c r="B1558" s="8"/>
      <c r="C1558" s="8"/>
      <c r="D1558" s="8"/>
      <c r="E1558" s="8"/>
      <c r="F1558" s="8"/>
      <c r="G1558" s="8"/>
      <c r="H1558" s="8"/>
      <c r="I1558" s="9"/>
      <c r="J1558" s="9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7"/>
      <c r="B1559" s="8"/>
      <c r="C1559" s="8"/>
      <c r="D1559" s="8"/>
      <c r="E1559" s="8"/>
      <c r="F1559" s="8"/>
      <c r="G1559" s="8"/>
      <c r="H1559" s="8"/>
      <c r="I1559" s="9"/>
      <c r="J1559" s="9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7"/>
      <c r="B1560" s="8"/>
      <c r="C1560" s="8"/>
      <c r="D1560" s="8"/>
      <c r="E1560" s="8"/>
      <c r="F1560" s="8"/>
      <c r="G1560" s="8"/>
      <c r="H1560" s="8"/>
      <c r="I1560" s="9"/>
      <c r="J1560" s="9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7"/>
      <c r="B1561" s="8"/>
      <c r="C1561" s="8"/>
      <c r="D1561" s="8"/>
      <c r="E1561" s="8"/>
      <c r="F1561" s="8"/>
      <c r="G1561" s="8"/>
      <c r="H1561" s="8"/>
      <c r="I1561" s="9"/>
      <c r="J1561" s="9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7"/>
      <c r="B1562" s="8"/>
      <c r="C1562" s="8"/>
      <c r="D1562" s="8"/>
      <c r="E1562" s="8"/>
      <c r="F1562" s="8"/>
      <c r="G1562" s="8"/>
      <c r="H1562" s="8"/>
      <c r="I1562" s="9"/>
      <c r="J1562" s="9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7"/>
      <c r="B1563" s="8"/>
      <c r="C1563" s="8"/>
      <c r="D1563" s="8"/>
      <c r="E1563" s="8"/>
      <c r="F1563" s="8"/>
      <c r="G1563" s="8"/>
      <c r="H1563" s="8"/>
      <c r="I1563" s="9"/>
      <c r="J1563" s="9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7"/>
      <c r="B1564" s="8"/>
      <c r="C1564" s="8"/>
      <c r="D1564" s="8"/>
      <c r="E1564" s="8"/>
      <c r="F1564" s="8"/>
      <c r="G1564" s="8"/>
      <c r="H1564" s="8"/>
      <c r="I1564" s="9"/>
      <c r="J1564" s="9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7"/>
      <c r="B1565" s="8"/>
      <c r="C1565" s="8"/>
      <c r="D1565" s="8"/>
      <c r="E1565" s="8"/>
      <c r="F1565" s="8"/>
      <c r="G1565" s="8"/>
      <c r="H1565" s="8"/>
      <c r="I1565" s="9"/>
      <c r="J1565" s="9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7"/>
      <c r="B1566" s="8"/>
      <c r="C1566" s="8"/>
      <c r="D1566" s="8"/>
      <c r="E1566" s="8"/>
      <c r="F1566" s="8"/>
      <c r="G1566" s="8"/>
      <c r="H1566" s="8"/>
      <c r="I1566" s="9"/>
      <c r="J1566" s="9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7"/>
      <c r="B1567" s="8"/>
      <c r="C1567" s="8"/>
      <c r="D1567" s="8"/>
      <c r="E1567" s="8"/>
      <c r="F1567" s="8"/>
      <c r="G1567" s="8"/>
      <c r="H1567" s="8"/>
      <c r="I1567" s="9"/>
      <c r="J1567" s="9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7"/>
      <c r="B1568" s="8"/>
      <c r="C1568" s="8"/>
      <c r="D1568" s="8"/>
      <c r="E1568" s="8"/>
      <c r="F1568" s="8"/>
      <c r="G1568" s="8"/>
      <c r="H1568" s="8"/>
      <c r="I1568" s="9"/>
      <c r="J1568" s="9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7"/>
      <c r="B1569" s="8"/>
      <c r="C1569" s="8"/>
      <c r="D1569" s="8"/>
      <c r="E1569" s="8"/>
      <c r="F1569" s="8"/>
      <c r="G1569" s="8"/>
      <c r="H1569" s="8"/>
      <c r="I1569" s="9"/>
      <c r="J1569" s="9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7"/>
      <c r="B1570" s="8"/>
      <c r="C1570" s="8"/>
      <c r="D1570" s="8"/>
      <c r="E1570" s="8"/>
      <c r="F1570" s="8"/>
      <c r="G1570" s="8"/>
      <c r="H1570" s="8"/>
      <c r="I1570" s="9"/>
      <c r="J1570" s="9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7"/>
      <c r="B1571" s="8"/>
      <c r="C1571" s="8"/>
      <c r="D1571" s="8"/>
      <c r="E1571" s="8"/>
      <c r="F1571" s="8"/>
      <c r="G1571" s="8"/>
      <c r="H1571" s="8"/>
      <c r="I1571" s="9"/>
      <c r="J1571" s="9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7"/>
      <c r="B1572" s="8"/>
      <c r="C1572" s="8"/>
      <c r="D1572" s="8"/>
      <c r="E1572" s="8"/>
      <c r="F1572" s="8"/>
      <c r="G1572" s="8"/>
      <c r="H1572" s="8"/>
      <c r="I1572" s="9"/>
      <c r="J1572" s="9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7"/>
      <c r="B1573" s="8"/>
      <c r="C1573" s="8"/>
      <c r="D1573" s="8"/>
      <c r="E1573" s="8"/>
      <c r="F1573" s="8"/>
      <c r="G1573" s="8"/>
      <c r="H1573" s="8"/>
      <c r="I1573" s="9"/>
      <c r="J1573" s="9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7"/>
      <c r="B1574" s="8"/>
      <c r="C1574" s="8"/>
      <c r="D1574" s="8"/>
      <c r="E1574" s="8"/>
      <c r="F1574" s="8"/>
      <c r="G1574" s="8"/>
      <c r="H1574" s="8"/>
      <c r="I1574" s="9"/>
      <c r="J1574" s="9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7"/>
      <c r="B1575" s="8"/>
      <c r="C1575" s="8"/>
      <c r="D1575" s="8"/>
      <c r="E1575" s="8"/>
      <c r="F1575" s="8"/>
      <c r="G1575" s="8"/>
      <c r="H1575" s="8"/>
      <c r="I1575" s="9"/>
      <c r="J1575" s="9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7"/>
      <c r="B1576" s="8"/>
      <c r="C1576" s="8"/>
      <c r="D1576" s="8"/>
      <c r="E1576" s="8"/>
      <c r="F1576" s="8"/>
      <c r="G1576" s="8"/>
      <c r="H1576" s="8"/>
      <c r="I1576" s="9"/>
      <c r="J1576" s="9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7"/>
      <c r="B1577" s="8"/>
      <c r="C1577" s="8"/>
      <c r="D1577" s="8"/>
      <c r="E1577" s="8"/>
      <c r="F1577" s="8"/>
      <c r="G1577" s="8"/>
      <c r="H1577" s="8"/>
      <c r="I1577" s="9"/>
      <c r="J1577" s="9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7"/>
      <c r="B1578" s="8"/>
      <c r="C1578" s="8"/>
      <c r="D1578" s="8"/>
      <c r="E1578" s="8"/>
      <c r="F1578" s="8"/>
      <c r="G1578" s="8"/>
      <c r="H1578" s="8"/>
      <c r="I1578" s="9"/>
      <c r="J1578" s="9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7"/>
      <c r="B1579" s="8"/>
      <c r="C1579" s="8"/>
      <c r="D1579" s="8"/>
      <c r="E1579" s="8"/>
      <c r="F1579" s="8"/>
      <c r="G1579" s="8"/>
      <c r="H1579" s="8"/>
      <c r="I1579" s="9"/>
      <c r="J1579" s="9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7"/>
      <c r="B1580" s="8"/>
      <c r="C1580" s="8"/>
      <c r="D1580" s="8"/>
      <c r="E1580" s="8"/>
      <c r="F1580" s="8"/>
      <c r="G1580" s="8"/>
      <c r="H1580" s="8"/>
      <c r="I1580" s="9"/>
      <c r="J1580" s="9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7"/>
      <c r="B1581" s="8"/>
      <c r="C1581" s="8"/>
      <c r="D1581" s="8"/>
      <c r="E1581" s="8"/>
      <c r="F1581" s="8"/>
      <c r="G1581" s="8"/>
      <c r="H1581" s="8"/>
      <c r="I1581" s="9"/>
      <c r="J1581" s="9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7"/>
      <c r="B1582" s="8"/>
      <c r="C1582" s="8"/>
      <c r="D1582" s="8"/>
      <c r="E1582" s="8"/>
      <c r="F1582" s="8"/>
      <c r="G1582" s="8"/>
      <c r="H1582" s="8"/>
      <c r="I1582" s="9"/>
      <c r="J1582" s="9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7"/>
      <c r="B1583" s="8"/>
      <c r="C1583" s="8"/>
      <c r="D1583" s="8"/>
      <c r="E1583" s="8"/>
      <c r="F1583" s="8"/>
      <c r="G1583" s="8"/>
      <c r="H1583" s="8"/>
      <c r="I1583" s="9"/>
      <c r="J1583" s="9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7"/>
      <c r="B1584" s="8"/>
      <c r="C1584" s="8"/>
      <c r="D1584" s="8"/>
      <c r="E1584" s="8"/>
      <c r="F1584" s="8"/>
      <c r="G1584" s="8"/>
      <c r="H1584" s="8"/>
      <c r="I1584" s="9"/>
      <c r="J1584" s="9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7"/>
      <c r="B1585" s="8"/>
      <c r="C1585" s="8"/>
      <c r="D1585" s="8"/>
      <c r="E1585" s="8"/>
      <c r="F1585" s="8"/>
      <c r="G1585" s="8"/>
      <c r="H1585" s="8"/>
      <c r="I1585" s="9"/>
      <c r="J1585" s="9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7"/>
      <c r="B1586" s="8"/>
      <c r="C1586" s="8"/>
      <c r="D1586" s="8"/>
      <c r="E1586" s="8"/>
      <c r="F1586" s="8"/>
      <c r="G1586" s="8"/>
      <c r="H1586" s="8"/>
      <c r="I1586" s="9"/>
      <c r="J1586" s="9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7"/>
      <c r="B1587" s="8"/>
      <c r="C1587" s="8"/>
      <c r="D1587" s="8"/>
      <c r="E1587" s="8"/>
      <c r="F1587" s="8"/>
      <c r="G1587" s="8"/>
      <c r="H1587" s="8"/>
      <c r="I1587" s="9"/>
      <c r="J1587" s="9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7"/>
      <c r="B1588" s="8"/>
      <c r="C1588" s="8"/>
      <c r="D1588" s="8"/>
      <c r="E1588" s="8"/>
      <c r="F1588" s="8"/>
      <c r="G1588" s="8"/>
      <c r="H1588" s="8"/>
      <c r="I1588" s="9"/>
      <c r="J1588" s="9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7"/>
      <c r="B1589" s="8"/>
      <c r="C1589" s="8"/>
      <c r="D1589" s="8"/>
      <c r="E1589" s="8"/>
      <c r="F1589" s="8"/>
      <c r="G1589" s="8"/>
      <c r="H1589" s="8"/>
      <c r="I1589" s="9"/>
      <c r="J1589" s="9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7"/>
      <c r="B1590" s="8"/>
      <c r="C1590" s="8"/>
      <c r="D1590" s="8"/>
      <c r="E1590" s="8"/>
      <c r="F1590" s="8"/>
      <c r="G1590" s="8"/>
      <c r="H1590" s="8"/>
      <c r="I1590" s="9"/>
      <c r="J1590" s="9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7"/>
      <c r="B1591" s="8"/>
      <c r="C1591" s="8"/>
      <c r="D1591" s="8"/>
      <c r="E1591" s="8"/>
      <c r="F1591" s="8"/>
      <c r="G1591" s="8"/>
      <c r="H1591" s="8"/>
      <c r="I1591" s="9"/>
      <c r="J1591" s="9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7"/>
      <c r="B1592" s="8"/>
      <c r="C1592" s="8"/>
      <c r="D1592" s="8"/>
      <c r="E1592" s="8"/>
      <c r="F1592" s="8"/>
      <c r="G1592" s="8"/>
      <c r="H1592" s="8"/>
      <c r="I1592" s="9"/>
      <c r="J1592" s="9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7"/>
      <c r="B1593" s="8"/>
      <c r="C1593" s="8"/>
      <c r="D1593" s="8"/>
      <c r="E1593" s="8"/>
      <c r="F1593" s="8"/>
      <c r="G1593" s="8"/>
      <c r="H1593" s="8"/>
      <c r="I1593" s="9"/>
      <c r="J1593" s="9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7"/>
      <c r="B1594" s="8"/>
      <c r="C1594" s="8"/>
      <c r="D1594" s="8"/>
      <c r="E1594" s="8"/>
      <c r="F1594" s="8"/>
      <c r="G1594" s="8"/>
      <c r="H1594" s="8"/>
      <c r="I1594" s="9"/>
      <c r="J1594" s="9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7"/>
      <c r="B1595" s="8"/>
      <c r="C1595" s="8"/>
      <c r="D1595" s="8"/>
      <c r="E1595" s="8"/>
      <c r="F1595" s="8"/>
      <c r="G1595" s="8"/>
      <c r="H1595" s="8"/>
      <c r="I1595" s="9"/>
      <c r="J1595" s="9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7"/>
      <c r="B1596" s="8"/>
      <c r="C1596" s="8"/>
      <c r="D1596" s="8"/>
      <c r="E1596" s="8"/>
      <c r="F1596" s="8"/>
      <c r="G1596" s="8"/>
      <c r="H1596" s="8"/>
      <c r="I1596" s="9"/>
      <c r="J1596" s="9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7"/>
      <c r="B1597" s="8"/>
      <c r="C1597" s="8"/>
      <c r="D1597" s="8"/>
      <c r="E1597" s="8"/>
      <c r="F1597" s="8"/>
      <c r="G1597" s="8"/>
      <c r="H1597" s="8"/>
      <c r="I1597" s="9"/>
      <c r="J1597" s="9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7"/>
      <c r="B1598" s="8"/>
      <c r="C1598" s="8"/>
      <c r="D1598" s="8"/>
      <c r="E1598" s="8"/>
      <c r="F1598" s="8"/>
      <c r="G1598" s="8"/>
      <c r="H1598" s="8"/>
      <c r="I1598" s="9"/>
      <c r="J1598" s="9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7"/>
      <c r="B1599" s="8"/>
      <c r="C1599" s="8"/>
      <c r="D1599" s="8"/>
      <c r="E1599" s="8"/>
      <c r="F1599" s="8"/>
      <c r="G1599" s="8"/>
      <c r="H1599" s="8"/>
      <c r="I1599" s="9"/>
      <c r="J1599" s="9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7"/>
      <c r="B1600" s="8"/>
      <c r="C1600" s="8"/>
      <c r="D1600" s="8"/>
      <c r="E1600" s="8"/>
      <c r="F1600" s="8"/>
      <c r="G1600" s="8"/>
      <c r="H1600" s="8"/>
      <c r="I1600" s="9"/>
      <c r="J1600" s="9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7"/>
      <c r="B1601" s="8"/>
      <c r="C1601" s="8"/>
      <c r="D1601" s="8"/>
      <c r="E1601" s="8"/>
      <c r="F1601" s="8"/>
      <c r="G1601" s="8"/>
      <c r="H1601" s="8"/>
      <c r="I1601" s="9"/>
      <c r="J1601" s="9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7"/>
      <c r="B1602" s="8"/>
      <c r="C1602" s="8"/>
      <c r="D1602" s="8"/>
      <c r="E1602" s="8"/>
      <c r="F1602" s="8"/>
      <c r="G1602" s="8"/>
      <c r="H1602" s="8"/>
      <c r="I1602" s="9"/>
      <c r="J1602" s="9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7"/>
      <c r="B1603" s="8"/>
      <c r="C1603" s="8"/>
      <c r="D1603" s="8"/>
      <c r="E1603" s="8"/>
      <c r="F1603" s="8"/>
      <c r="G1603" s="8"/>
      <c r="H1603" s="8"/>
      <c r="I1603" s="9"/>
      <c r="J1603" s="9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7"/>
      <c r="B1604" s="8"/>
      <c r="C1604" s="8"/>
      <c r="D1604" s="8"/>
      <c r="E1604" s="8"/>
      <c r="F1604" s="8"/>
      <c r="G1604" s="8"/>
      <c r="H1604" s="8"/>
      <c r="I1604" s="9"/>
      <c r="J1604" s="9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7"/>
      <c r="B1605" s="8"/>
      <c r="C1605" s="8"/>
      <c r="D1605" s="8"/>
      <c r="E1605" s="8"/>
      <c r="F1605" s="8"/>
      <c r="G1605" s="8"/>
      <c r="H1605" s="8"/>
      <c r="I1605" s="9"/>
      <c r="J1605" s="9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7"/>
      <c r="B1606" s="8"/>
      <c r="C1606" s="8"/>
      <c r="D1606" s="8"/>
      <c r="E1606" s="8"/>
      <c r="F1606" s="8"/>
      <c r="G1606" s="8"/>
      <c r="H1606" s="8"/>
      <c r="I1606" s="9"/>
      <c r="J1606" s="9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7"/>
      <c r="B1607" s="8"/>
      <c r="C1607" s="8"/>
      <c r="D1607" s="8"/>
      <c r="E1607" s="8"/>
      <c r="F1607" s="8"/>
      <c r="G1607" s="8"/>
      <c r="H1607" s="8"/>
      <c r="I1607" s="9"/>
      <c r="J1607" s="9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7"/>
      <c r="B1608" s="8"/>
      <c r="C1608" s="8"/>
      <c r="D1608" s="8"/>
      <c r="E1608" s="8"/>
      <c r="F1608" s="8"/>
      <c r="G1608" s="8"/>
      <c r="H1608" s="8"/>
      <c r="I1608" s="9"/>
      <c r="J1608" s="9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7"/>
      <c r="B1609" s="8"/>
      <c r="C1609" s="8"/>
      <c r="D1609" s="8"/>
      <c r="E1609" s="8"/>
      <c r="F1609" s="8"/>
      <c r="G1609" s="8"/>
      <c r="H1609" s="8"/>
      <c r="I1609" s="9"/>
      <c r="J1609" s="9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7"/>
      <c r="B1610" s="8"/>
      <c r="C1610" s="8"/>
      <c r="D1610" s="8"/>
      <c r="E1610" s="8"/>
      <c r="F1610" s="8"/>
      <c r="G1610" s="8"/>
      <c r="H1610" s="8"/>
      <c r="I1610" s="9"/>
      <c r="J1610" s="9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7"/>
      <c r="B1611" s="8"/>
      <c r="C1611" s="8"/>
      <c r="D1611" s="8"/>
      <c r="E1611" s="8"/>
      <c r="F1611" s="8"/>
      <c r="G1611" s="8"/>
      <c r="H1611" s="8"/>
      <c r="I1611" s="9"/>
      <c r="J1611" s="9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7"/>
      <c r="B1612" s="8"/>
      <c r="C1612" s="8"/>
      <c r="D1612" s="8"/>
      <c r="E1612" s="8"/>
      <c r="F1612" s="8"/>
      <c r="G1612" s="8"/>
      <c r="H1612" s="8"/>
      <c r="I1612" s="9"/>
      <c r="J1612" s="9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7"/>
      <c r="B1613" s="8"/>
      <c r="C1613" s="8"/>
      <c r="D1613" s="8"/>
      <c r="E1613" s="8"/>
      <c r="F1613" s="8"/>
      <c r="G1613" s="8"/>
      <c r="H1613" s="8"/>
      <c r="I1613" s="9"/>
      <c r="J1613" s="9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7"/>
      <c r="B1614" s="8"/>
      <c r="C1614" s="8"/>
      <c r="D1614" s="8"/>
      <c r="E1614" s="8"/>
      <c r="F1614" s="8"/>
      <c r="G1614" s="8"/>
      <c r="H1614" s="8"/>
      <c r="I1614" s="9"/>
      <c r="J1614" s="9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7"/>
      <c r="B1615" s="8"/>
      <c r="C1615" s="8"/>
      <c r="D1615" s="8"/>
      <c r="E1615" s="8"/>
      <c r="F1615" s="8"/>
      <c r="G1615" s="8"/>
      <c r="H1615" s="8"/>
      <c r="I1615" s="9"/>
      <c r="J1615" s="9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7"/>
      <c r="B1616" s="8"/>
      <c r="C1616" s="8"/>
      <c r="D1616" s="8"/>
      <c r="E1616" s="8"/>
      <c r="F1616" s="8"/>
      <c r="G1616" s="8"/>
      <c r="H1616" s="8"/>
      <c r="I1616" s="9"/>
      <c r="J1616" s="9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7"/>
      <c r="B1617" s="8"/>
      <c r="C1617" s="8"/>
      <c r="D1617" s="8"/>
      <c r="E1617" s="8"/>
      <c r="F1617" s="8"/>
      <c r="G1617" s="8"/>
      <c r="H1617" s="8"/>
      <c r="I1617" s="9"/>
      <c r="J1617" s="9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7"/>
      <c r="B1618" s="8"/>
      <c r="C1618" s="8"/>
      <c r="D1618" s="8"/>
      <c r="E1618" s="8"/>
      <c r="F1618" s="8"/>
      <c r="G1618" s="8"/>
      <c r="H1618" s="8"/>
      <c r="I1618" s="9"/>
      <c r="J1618" s="9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7"/>
      <c r="B1619" s="8"/>
      <c r="C1619" s="8"/>
      <c r="D1619" s="8"/>
      <c r="E1619" s="8"/>
      <c r="F1619" s="8"/>
      <c r="G1619" s="8"/>
      <c r="H1619" s="8"/>
      <c r="I1619" s="9"/>
      <c r="J1619" s="9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7"/>
      <c r="B1620" s="8"/>
      <c r="C1620" s="8"/>
      <c r="D1620" s="8"/>
      <c r="E1620" s="8"/>
      <c r="F1620" s="8"/>
      <c r="G1620" s="8"/>
      <c r="H1620" s="8"/>
      <c r="I1620" s="9"/>
      <c r="J1620" s="9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7"/>
      <c r="B1621" s="8"/>
      <c r="C1621" s="8"/>
      <c r="D1621" s="8"/>
      <c r="E1621" s="8"/>
      <c r="F1621" s="8"/>
      <c r="G1621" s="8"/>
      <c r="H1621" s="8"/>
      <c r="I1621" s="9"/>
      <c r="J1621" s="9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7"/>
      <c r="B1622" s="8"/>
      <c r="C1622" s="8"/>
      <c r="D1622" s="8"/>
      <c r="E1622" s="8"/>
      <c r="F1622" s="8"/>
      <c r="G1622" s="8"/>
      <c r="H1622" s="8"/>
      <c r="I1622" s="9"/>
      <c r="J1622" s="9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7"/>
      <c r="B1623" s="8"/>
      <c r="C1623" s="8"/>
      <c r="D1623" s="8"/>
      <c r="E1623" s="8"/>
      <c r="F1623" s="8"/>
      <c r="G1623" s="8"/>
      <c r="H1623" s="8"/>
      <c r="I1623" s="9"/>
      <c r="J1623" s="9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7"/>
      <c r="B1624" s="8"/>
      <c r="C1624" s="8"/>
      <c r="D1624" s="8"/>
      <c r="E1624" s="8"/>
      <c r="F1624" s="8"/>
      <c r="G1624" s="8"/>
      <c r="H1624" s="8"/>
      <c r="I1624" s="9"/>
      <c r="J1624" s="9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7"/>
      <c r="B1625" s="8"/>
      <c r="C1625" s="8"/>
      <c r="D1625" s="8"/>
      <c r="E1625" s="8"/>
      <c r="F1625" s="8"/>
      <c r="G1625" s="8"/>
      <c r="H1625" s="8"/>
      <c r="I1625" s="9"/>
      <c r="J1625" s="9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7"/>
      <c r="B1626" s="8"/>
      <c r="C1626" s="8"/>
      <c r="D1626" s="8"/>
      <c r="E1626" s="8"/>
      <c r="F1626" s="8"/>
      <c r="G1626" s="8"/>
      <c r="H1626" s="8"/>
      <c r="I1626" s="9"/>
      <c r="J1626" s="9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7"/>
      <c r="B1627" s="8"/>
      <c r="C1627" s="8"/>
      <c r="D1627" s="8"/>
      <c r="E1627" s="8"/>
      <c r="F1627" s="8"/>
      <c r="G1627" s="8"/>
      <c r="H1627" s="8"/>
      <c r="I1627" s="9"/>
      <c r="J1627" s="9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7"/>
      <c r="B1628" s="8"/>
      <c r="C1628" s="8"/>
      <c r="D1628" s="8"/>
      <c r="E1628" s="8"/>
      <c r="F1628" s="8"/>
      <c r="G1628" s="8"/>
      <c r="H1628" s="8"/>
      <c r="I1628" s="9"/>
      <c r="J1628" s="9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7"/>
      <c r="B1629" s="8"/>
      <c r="C1629" s="8"/>
      <c r="D1629" s="8"/>
      <c r="E1629" s="8"/>
      <c r="F1629" s="8"/>
      <c r="G1629" s="8"/>
      <c r="H1629" s="8"/>
      <c r="I1629" s="9"/>
      <c r="J1629" s="9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7"/>
      <c r="B1630" s="8"/>
      <c r="C1630" s="8"/>
      <c r="D1630" s="8"/>
      <c r="E1630" s="8"/>
      <c r="F1630" s="8"/>
      <c r="G1630" s="8"/>
      <c r="H1630" s="8"/>
      <c r="I1630" s="9"/>
      <c r="J1630" s="9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7"/>
      <c r="B1631" s="8"/>
      <c r="C1631" s="8"/>
      <c r="D1631" s="8"/>
      <c r="E1631" s="8"/>
      <c r="F1631" s="8"/>
      <c r="G1631" s="8"/>
      <c r="H1631" s="8"/>
      <c r="I1631" s="9"/>
      <c r="J1631" s="9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7"/>
      <c r="B1632" s="8"/>
      <c r="C1632" s="8"/>
      <c r="D1632" s="8"/>
      <c r="E1632" s="8"/>
      <c r="F1632" s="8"/>
      <c r="G1632" s="8"/>
      <c r="H1632" s="8"/>
      <c r="I1632" s="9"/>
      <c r="J1632" s="9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7"/>
      <c r="B1633" s="8"/>
      <c r="C1633" s="8"/>
      <c r="D1633" s="8"/>
      <c r="E1633" s="8"/>
      <c r="F1633" s="8"/>
      <c r="G1633" s="8"/>
      <c r="H1633" s="8"/>
      <c r="I1633" s="9"/>
      <c r="J1633" s="9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7"/>
      <c r="B1634" s="8"/>
      <c r="C1634" s="8"/>
      <c r="D1634" s="8"/>
      <c r="E1634" s="8"/>
      <c r="F1634" s="8"/>
      <c r="G1634" s="8"/>
      <c r="H1634" s="8"/>
      <c r="I1634" s="9"/>
      <c r="J1634" s="9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7"/>
      <c r="B1635" s="8"/>
      <c r="C1635" s="8"/>
      <c r="D1635" s="8"/>
      <c r="E1635" s="8"/>
      <c r="F1635" s="8"/>
      <c r="G1635" s="8"/>
      <c r="H1635" s="8"/>
      <c r="I1635" s="9"/>
      <c r="J1635" s="9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7"/>
      <c r="B1636" s="8"/>
      <c r="C1636" s="8"/>
      <c r="D1636" s="8"/>
      <c r="E1636" s="8"/>
      <c r="F1636" s="8"/>
      <c r="G1636" s="8"/>
      <c r="H1636" s="8"/>
      <c r="I1636" s="9"/>
      <c r="J1636" s="9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7"/>
      <c r="B1637" s="8"/>
      <c r="C1637" s="8"/>
      <c r="D1637" s="8"/>
      <c r="E1637" s="8"/>
      <c r="F1637" s="8"/>
      <c r="G1637" s="8"/>
      <c r="H1637" s="8"/>
      <c r="I1637" s="9"/>
      <c r="J1637" s="9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7"/>
      <c r="B1638" s="8"/>
      <c r="C1638" s="8"/>
      <c r="D1638" s="8"/>
      <c r="E1638" s="8"/>
      <c r="F1638" s="8"/>
      <c r="G1638" s="8"/>
      <c r="H1638" s="8"/>
      <c r="I1638" s="9"/>
      <c r="J1638" s="9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7"/>
      <c r="B1639" s="8"/>
      <c r="C1639" s="8"/>
      <c r="D1639" s="8"/>
      <c r="E1639" s="8"/>
      <c r="F1639" s="8"/>
      <c r="G1639" s="8"/>
      <c r="H1639" s="8"/>
      <c r="I1639" s="9"/>
      <c r="J1639" s="9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7"/>
      <c r="B1640" s="8"/>
      <c r="C1640" s="8"/>
      <c r="D1640" s="8"/>
      <c r="E1640" s="8"/>
      <c r="F1640" s="8"/>
      <c r="G1640" s="8"/>
      <c r="H1640" s="8"/>
      <c r="I1640" s="9"/>
      <c r="J1640" s="9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7"/>
      <c r="B1641" s="8"/>
      <c r="C1641" s="8"/>
      <c r="D1641" s="8"/>
      <c r="E1641" s="8"/>
      <c r="F1641" s="8"/>
      <c r="G1641" s="8"/>
      <c r="H1641" s="8"/>
      <c r="I1641" s="9"/>
      <c r="J1641" s="9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7"/>
      <c r="B1642" s="8"/>
      <c r="C1642" s="8"/>
      <c r="D1642" s="8"/>
      <c r="E1642" s="8"/>
      <c r="F1642" s="8"/>
      <c r="G1642" s="8"/>
      <c r="H1642" s="8"/>
      <c r="I1642" s="9"/>
      <c r="J1642" s="9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7"/>
      <c r="B1643" s="8"/>
      <c r="C1643" s="8"/>
      <c r="D1643" s="8"/>
      <c r="E1643" s="8"/>
      <c r="F1643" s="8"/>
      <c r="G1643" s="8"/>
      <c r="H1643" s="8"/>
      <c r="I1643" s="9"/>
      <c r="J1643" s="9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7"/>
      <c r="B1644" s="8"/>
      <c r="C1644" s="8"/>
      <c r="D1644" s="8"/>
      <c r="E1644" s="8"/>
      <c r="F1644" s="8"/>
      <c r="G1644" s="8"/>
      <c r="H1644" s="8"/>
      <c r="I1644" s="9"/>
      <c r="J1644" s="9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7"/>
      <c r="B1645" s="8"/>
      <c r="C1645" s="8"/>
      <c r="D1645" s="8"/>
      <c r="E1645" s="8"/>
      <c r="F1645" s="8"/>
      <c r="G1645" s="8"/>
      <c r="H1645" s="8"/>
      <c r="I1645" s="9"/>
      <c r="J1645" s="9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7"/>
      <c r="B1646" s="8"/>
      <c r="C1646" s="8"/>
      <c r="D1646" s="8"/>
      <c r="E1646" s="8"/>
      <c r="F1646" s="8"/>
      <c r="G1646" s="8"/>
      <c r="H1646" s="8"/>
      <c r="I1646" s="9"/>
      <c r="J1646" s="9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7"/>
      <c r="B1647" s="8"/>
      <c r="C1647" s="8"/>
      <c r="D1647" s="8"/>
      <c r="E1647" s="8"/>
      <c r="F1647" s="8"/>
      <c r="G1647" s="8"/>
      <c r="H1647" s="8"/>
      <c r="I1647" s="9"/>
      <c r="J1647" s="9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7"/>
      <c r="B1648" s="8"/>
      <c r="C1648" s="8"/>
      <c r="D1648" s="8"/>
      <c r="E1648" s="8"/>
      <c r="F1648" s="8"/>
      <c r="G1648" s="8"/>
      <c r="H1648" s="8"/>
      <c r="I1648" s="9"/>
      <c r="J1648" s="9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7"/>
      <c r="B1649" s="8"/>
      <c r="C1649" s="8"/>
      <c r="D1649" s="8"/>
      <c r="E1649" s="8"/>
      <c r="F1649" s="8"/>
      <c r="G1649" s="8"/>
      <c r="H1649" s="8"/>
      <c r="I1649" s="9"/>
      <c r="J1649" s="9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7"/>
      <c r="B1650" s="8"/>
      <c r="C1650" s="8"/>
      <c r="D1650" s="8"/>
      <c r="E1650" s="8"/>
      <c r="F1650" s="8"/>
      <c r="G1650" s="8"/>
      <c r="H1650" s="8"/>
      <c r="I1650" s="9"/>
      <c r="J1650" s="9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7"/>
      <c r="B1651" s="8"/>
      <c r="C1651" s="8"/>
      <c r="D1651" s="8"/>
      <c r="E1651" s="8"/>
      <c r="F1651" s="8"/>
      <c r="G1651" s="8"/>
      <c r="H1651" s="8"/>
      <c r="I1651" s="9"/>
      <c r="J1651" s="9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7"/>
      <c r="B1652" s="8"/>
      <c r="C1652" s="8"/>
      <c r="D1652" s="8"/>
      <c r="E1652" s="8"/>
      <c r="F1652" s="8"/>
      <c r="G1652" s="8"/>
      <c r="H1652" s="8"/>
      <c r="I1652" s="9"/>
      <c r="J1652" s="9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7"/>
      <c r="B1653" s="8"/>
      <c r="C1653" s="8"/>
      <c r="D1653" s="8"/>
      <c r="E1653" s="8"/>
      <c r="F1653" s="8"/>
      <c r="G1653" s="8"/>
      <c r="H1653" s="8"/>
      <c r="I1653" s="9"/>
      <c r="J1653" s="9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7"/>
      <c r="B1654" s="8"/>
      <c r="C1654" s="8"/>
      <c r="D1654" s="8"/>
      <c r="E1654" s="8"/>
      <c r="F1654" s="8"/>
      <c r="G1654" s="8"/>
      <c r="H1654" s="8"/>
      <c r="I1654" s="9"/>
      <c r="J1654" s="9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7"/>
      <c r="B1655" s="8"/>
      <c r="C1655" s="8"/>
      <c r="D1655" s="8"/>
      <c r="E1655" s="8"/>
      <c r="F1655" s="8"/>
      <c r="G1655" s="8"/>
      <c r="H1655" s="8"/>
      <c r="I1655" s="9"/>
      <c r="J1655" s="9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7"/>
      <c r="B1656" s="8"/>
      <c r="C1656" s="8"/>
      <c r="D1656" s="8"/>
      <c r="E1656" s="8"/>
      <c r="F1656" s="8"/>
      <c r="G1656" s="8"/>
      <c r="H1656" s="8"/>
      <c r="I1656" s="9"/>
      <c r="J1656" s="9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7"/>
      <c r="B1657" s="8"/>
      <c r="C1657" s="8"/>
      <c r="D1657" s="8"/>
      <c r="E1657" s="8"/>
      <c r="F1657" s="8"/>
      <c r="G1657" s="8"/>
      <c r="H1657" s="8"/>
      <c r="I1657" s="9"/>
      <c r="J1657" s="9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7"/>
      <c r="B1658" s="8"/>
      <c r="C1658" s="8"/>
      <c r="D1658" s="8"/>
      <c r="E1658" s="8"/>
      <c r="F1658" s="8"/>
      <c r="G1658" s="8"/>
      <c r="H1658" s="8"/>
      <c r="I1658" s="9"/>
      <c r="J1658" s="9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7"/>
      <c r="B1659" s="8"/>
      <c r="C1659" s="8"/>
      <c r="D1659" s="8"/>
      <c r="E1659" s="8"/>
      <c r="F1659" s="8"/>
      <c r="G1659" s="8"/>
      <c r="H1659" s="8"/>
      <c r="I1659" s="9"/>
      <c r="J1659" s="9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7"/>
      <c r="B1660" s="8"/>
      <c r="C1660" s="8"/>
      <c r="D1660" s="8"/>
      <c r="E1660" s="8"/>
      <c r="F1660" s="8"/>
      <c r="G1660" s="8"/>
      <c r="H1660" s="8"/>
      <c r="I1660" s="9"/>
      <c r="J1660" s="9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7"/>
      <c r="B1661" s="8"/>
      <c r="C1661" s="8"/>
      <c r="D1661" s="8"/>
      <c r="E1661" s="8"/>
      <c r="F1661" s="8"/>
      <c r="G1661" s="8"/>
      <c r="H1661" s="8"/>
      <c r="I1661" s="9"/>
      <c r="J1661" s="9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7"/>
      <c r="B1662" s="8"/>
      <c r="C1662" s="8"/>
      <c r="D1662" s="8"/>
      <c r="E1662" s="8"/>
      <c r="F1662" s="8"/>
      <c r="G1662" s="8"/>
      <c r="H1662" s="8"/>
      <c r="I1662" s="9"/>
      <c r="J1662" s="9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7"/>
      <c r="B1663" s="8"/>
      <c r="C1663" s="8"/>
      <c r="D1663" s="8"/>
      <c r="E1663" s="8"/>
      <c r="F1663" s="8"/>
      <c r="G1663" s="8"/>
      <c r="H1663" s="8"/>
      <c r="I1663" s="9"/>
      <c r="J1663" s="9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7"/>
      <c r="B1664" s="8"/>
      <c r="C1664" s="8"/>
      <c r="D1664" s="8"/>
      <c r="E1664" s="8"/>
      <c r="F1664" s="8"/>
      <c r="G1664" s="8"/>
      <c r="H1664" s="8"/>
      <c r="I1664" s="9"/>
      <c r="J1664" s="9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7"/>
      <c r="B1665" s="8"/>
      <c r="C1665" s="8"/>
      <c r="D1665" s="8"/>
      <c r="E1665" s="8"/>
      <c r="F1665" s="8"/>
      <c r="G1665" s="8"/>
      <c r="H1665" s="8"/>
      <c r="I1665" s="9"/>
      <c r="J1665" s="9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7"/>
      <c r="B1666" s="8"/>
      <c r="C1666" s="8"/>
      <c r="D1666" s="8"/>
      <c r="E1666" s="8"/>
      <c r="F1666" s="8"/>
      <c r="G1666" s="8"/>
      <c r="H1666" s="8"/>
      <c r="I1666" s="9"/>
      <c r="J1666" s="9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7"/>
      <c r="B1667" s="8"/>
      <c r="C1667" s="8"/>
      <c r="D1667" s="8"/>
      <c r="E1667" s="8"/>
      <c r="F1667" s="8"/>
      <c r="G1667" s="8"/>
      <c r="H1667" s="8"/>
      <c r="I1667" s="9"/>
      <c r="J1667" s="9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7"/>
      <c r="B1668" s="8"/>
      <c r="C1668" s="8"/>
      <c r="D1668" s="8"/>
      <c r="E1668" s="8"/>
      <c r="F1668" s="8"/>
      <c r="G1668" s="8"/>
      <c r="H1668" s="8"/>
      <c r="I1668" s="9"/>
      <c r="J1668" s="9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7"/>
      <c r="B1669" s="8"/>
      <c r="C1669" s="8"/>
      <c r="D1669" s="8"/>
      <c r="E1669" s="8"/>
      <c r="F1669" s="8"/>
      <c r="G1669" s="8"/>
      <c r="H1669" s="8"/>
      <c r="I1669" s="9"/>
      <c r="J1669" s="9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7"/>
      <c r="B1670" s="8"/>
      <c r="C1670" s="8"/>
      <c r="D1670" s="8"/>
      <c r="E1670" s="8"/>
      <c r="F1670" s="8"/>
      <c r="G1670" s="8"/>
      <c r="H1670" s="8"/>
      <c r="I1670" s="9"/>
      <c r="J1670" s="9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7"/>
      <c r="B1671" s="8"/>
      <c r="C1671" s="8"/>
      <c r="D1671" s="8"/>
      <c r="E1671" s="8"/>
      <c r="F1671" s="8"/>
      <c r="G1671" s="8"/>
      <c r="H1671" s="8"/>
      <c r="I1671" s="9"/>
      <c r="J1671" s="9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7"/>
      <c r="B1672" s="8"/>
      <c r="C1672" s="8"/>
      <c r="D1672" s="8"/>
      <c r="E1672" s="8"/>
      <c r="F1672" s="8"/>
      <c r="G1672" s="8"/>
      <c r="H1672" s="8"/>
      <c r="I1672" s="9"/>
      <c r="J1672" s="9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7"/>
      <c r="B1673" s="8"/>
      <c r="C1673" s="8"/>
      <c r="D1673" s="8"/>
      <c r="E1673" s="8"/>
      <c r="F1673" s="8"/>
      <c r="G1673" s="8"/>
      <c r="H1673" s="8"/>
      <c r="I1673" s="9"/>
      <c r="J1673" s="9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7"/>
      <c r="B1674" s="8"/>
      <c r="C1674" s="8"/>
      <c r="D1674" s="8"/>
      <c r="E1674" s="8"/>
      <c r="F1674" s="8"/>
      <c r="G1674" s="8"/>
      <c r="H1674" s="8"/>
      <c r="I1674" s="9"/>
      <c r="J1674" s="9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7"/>
      <c r="B1675" s="8"/>
      <c r="C1675" s="8"/>
      <c r="D1675" s="8"/>
      <c r="E1675" s="8"/>
      <c r="F1675" s="8"/>
      <c r="G1675" s="8"/>
      <c r="H1675" s="8"/>
      <c r="I1675" s="9"/>
      <c r="J1675" s="9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7"/>
      <c r="B1676" s="8"/>
      <c r="C1676" s="8"/>
      <c r="D1676" s="8"/>
      <c r="E1676" s="8"/>
      <c r="F1676" s="8"/>
      <c r="G1676" s="8"/>
      <c r="H1676" s="8"/>
      <c r="I1676" s="9"/>
      <c r="J1676" s="9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7"/>
      <c r="B1677" s="8"/>
      <c r="C1677" s="8"/>
      <c r="D1677" s="8"/>
      <c r="E1677" s="8"/>
      <c r="F1677" s="8"/>
      <c r="G1677" s="8"/>
      <c r="H1677" s="8"/>
      <c r="I1677" s="9"/>
      <c r="J1677" s="9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7"/>
      <c r="B1678" s="8"/>
      <c r="C1678" s="8"/>
      <c r="D1678" s="8"/>
      <c r="E1678" s="8"/>
      <c r="F1678" s="8"/>
      <c r="G1678" s="8"/>
      <c r="H1678" s="8"/>
      <c r="I1678" s="9"/>
      <c r="J1678" s="9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7"/>
      <c r="B1679" s="8"/>
      <c r="C1679" s="8"/>
      <c r="D1679" s="8"/>
      <c r="E1679" s="8"/>
      <c r="F1679" s="8"/>
      <c r="G1679" s="8"/>
      <c r="H1679" s="8"/>
      <c r="I1679" s="9"/>
      <c r="J1679" s="9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7"/>
      <c r="B1680" s="8"/>
      <c r="C1680" s="8"/>
      <c r="D1680" s="8"/>
      <c r="E1680" s="8"/>
      <c r="F1680" s="8"/>
      <c r="G1680" s="8"/>
      <c r="H1680" s="8"/>
      <c r="I1680" s="9"/>
      <c r="J1680" s="9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7"/>
      <c r="B1681" s="8"/>
      <c r="C1681" s="8"/>
      <c r="D1681" s="8"/>
      <c r="E1681" s="8"/>
      <c r="F1681" s="8"/>
      <c r="G1681" s="8"/>
      <c r="H1681" s="8"/>
      <c r="I1681" s="9"/>
      <c r="J1681" s="9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7"/>
      <c r="B1682" s="8"/>
      <c r="C1682" s="8"/>
      <c r="D1682" s="8"/>
      <c r="E1682" s="8"/>
      <c r="F1682" s="8"/>
      <c r="G1682" s="8"/>
      <c r="H1682" s="8"/>
      <c r="I1682" s="9"/>
      <c r="J1682" s="9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7"/>
      <c r="B1683" s="8"/>
      <c r="C1683" s="8"/>
      <c r="D1683" s="8"/>
      <c r="E1683" s="8"/>
      <c r="F1683" s="8"/>
      <c r="G1683" s="8"/>
      <c r="H1683" s="8"/>
      <c r="I1683" s="9"/>
      <c r="J1683" s="9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7"/>
      <c r="B1684" s="8"/>
      <c r="C1684" s="8"/>
      <c r="D1684" s="8"/>
      <c r="E1684" s="8"/>
      <c r="F1684" s="8"/>
      <c r="G1684" s="8"/>
      <c r="H1684" s="8"/>
      <c r="I1684" s="9"/>
      <c r="J1684" s="9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7"/>
      <c r="B1685" s="8"/>
      <c r="C1685" s="8"/>
      <c r="D1685" s="8"/>
      <c r="E1685" s="8"/>
      <c r="F1685" s="8"/>
      <c r="G1685" s="8"/>
      <c r="H1685" s="8"/>
      <c r="I1685" s="9"/>
      <c r="J1685" s="9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7"/>
      <c r="B1686" s="8"/>
      <c r="C1686" s="8"/>
      <c r="D1686" s="8"/>
      <c r="E1686" s="8"/>
      <c r="F1686" s="8"/>
      <c r="G1686" s="8"/>
      <c r="H1686" s="8"/>
      <c r="I1686" s="9"/>
      <c r="J1686" s="9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7"/>
      <c r="B1687" s="8"/>
      <c r="C1687" s="8"/>
      <c r="D1687" s="8"/>
      <c r="E1687" s="8"/>
      <c r="F1687" s="8"/>
      <c r="G1687" s="8"/>
      <c r="H1687" s="8"/>
      <c r="I1687" s="9"/>
      <c r="J1687" s="9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7"/>
      <c r="B1688" s="8"/>
      <c r="C1688" s="8"/>
      <c r="D1688" s="8"/>
      <c r="E1688" s="8"/>
      <c r="F1688" s="8"/>
      <c r="G1688" s="8"/>
      <c r="H1688" s="8"/>
      <c r="I1688" s="9"/>
      <c r="J1688" s="9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7"/>
      <c r="B1689" s="8"/>
      <c r="C1689" s="8"/>
      <c r="D1689" s="8"/>
      <c r="E1689" s="8"/>
      <c r="F1689" s="8"/>
      <c r="G1689" s="8"/>
      <c r="H1689" s="8"/>
      <c r="I1689" s="9"/>
      <c r="J1689" s="9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7"/>
      <c r="B1690" s="8"/>
      <c r="C1690" s="8"/>
      <c r="D1690" s="8"/>
      <c r="E1690" s="8"/>
      <c r="F1690" s="8"/>
      <c r="G1690" s="8"/>
      <c r="H1690" s="8"/>
      <c r="I1690" s="9"/>
      <c r="J1690" s="9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7"/>
      <c r="B1691" s="8"/>
      <c r="C1691" s="8"/>
      <c r="D1691" s="8"/>
      <c r="E1691" s="8"/>
      <c r="F1691" s="8"/>
      <c r="G1691" s="8"/>
      <c r="H1691" s="8"/>
      <c r="I1691" s="9"/>
      <c r="J1691" s="9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7"/>
      <c r="B1692" s="8"/>
      <c r="C1692" s="8"/>
      <c r="D1692" s="8"/>
      <c r="E1692" s="8"/>
      <c r="F1692" s="8"/>
      <c r="G1692" s="8"/>
      <c r="H1692" s="8"/>
      <c r="I1692" s="9"/>
      <c r="J1692" s="9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7"/>
      <c r="B1693" s="8"/>
      <c r="C1693" s="8"/>
      <c r="D1693" s="8"/>
      <c r="E1693" s="8"/>
      <c r="F1693" s="8"/>
      <c r="G1693" s="8"/>
      <c r="H1693" s="8"/>
      <c r="I1693" s="9"/>
      <c r="J1693" s="9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7"/>
      <c r="B1694" s="8"/>
      <c r="C1694" s="8"/>
      <c r="D1694" s="8"/>
      <c r="E1694" s="8"/>
      <c r="F1694" s="8"/>
      <c r="G1694" s="8"/>
      <c r="H1694" s="8"/>
      <c r="I1694" s="9"/>
      <c r="J1694" s="9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7"/>
      <c r="B1695" s="8"/>
      <c r="C1695" s="8"/>
      <c r="D1695" s="8"/>
      <c r="E1695" s="8"/>
      <c r="F1695" s="8"/>
      <c r="G1695" s="8"/>
      <c r="H1695" s="8"/>
      <c r="I1695" s="9"/>
      <c r="J1695" s="9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7"/>
      <c r="B1696" s="8"/>
      <c r="C1696" s="8"/>
      <c r="D1696" s="8"/>
      <c r="E1696" s="8"/>
      <c r="F1696" s="8"/>
      <c r="G1696" s="8"/>
      <c r="H1696" s="8"/>
      <c r="I1696" s="9"/>
      <c r="J1696" s="9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7"/>
      <c r="B1697" s="8"/>
      <c r="C1697" s="8"/>
      <c r="D1697" s="8"/>
      <c r="E1697" s="8"/>
      <c r="F1697" s="8"/>
      <c r="G1697" s="8"/>
      <c r="H1697" s="8"/>
      <c r="I1697" s="9"/>
      <c r="J1697" s="9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7"/>
      <c r="B1698" s="8"/>
      <c r="C1698" s="8"/>
      <c r="D1698" s="8"/>
      <c r="E1698" s="8"/>
      <c r="F1698" s="8"/>
      <c r="G1698" s="8"/>
      <c r="H1698" s="8"/>
      <c r="I1698" s="9"/>
      <c r="J1698" s="9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7"/>
      <c r="B1699" s="8"/>
      <c r="C1699" s="8"/>
      <c r="D1699" s="8"/>
      <c r="E1699" s="8"/>
      <c r="F1699" s="8"/>
      <c r="G1699" s="8"/>
      <c r="H1699" s="8"/>
      <c r="I1699" s="9"/>
      <c r="J1699" s="9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7"/>
      <c r="B1700" s="8"/>
      <c r="C1700" s="8"/>
      <c r="D1700" s="8"/>
      <c r="E1700" s="8"/>
      <c r="F1700" s="8"/>
      <c r="G1700" s="8"/>
      <c r="H1700" s="8"/>
      <c r="I1700" s="9"/>
      <c r="J1700" s="9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7"/>
      <c r="B1701" s="8"/>
      <c r="C1701" s="8"/>
      <c r="D1701" s="8"/>
      <c r="E1701" s="8"/>
      <c r="F1701" s="8"/>
      <c r="G1701" s="8"/>
      <c r="H1701" s="8"/>
      <c r="I1701" s="9"/>
      <c r="J1701" s="9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7"/>
      <c r="B1702" s="8"/>
      <c r="C1702" s="8"/>
      <c r="D1702" s="8"/>
      <c r="E1702" s="8"/>
      <c r="F1702" s="8"/>
      <c r="G1702" s="8"/>
      <c r="H1702" s="8"/>
      <c r="I1702" s="9"/>
      <c r="J1702" s="9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7"/>
      <c r="B1703" s="8"/>
      <c r="C1703" s="8"/>
      <c r="D1703" s="8"/>
      <c r="E1703" s="8"/>
      <c r="F1703" s="8"/>
      <c r="G1703" s="8"/>
      <c r="H1703" s="8"/>
      <c r="I1703" s="9"/>
      <c r="J1703" s="9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7"/>
      <c r="B1704" s="8"/>
      <c r="C1704" s="8"/>
      <c r="D1704" s="8"/>
      <c r="E1704" s="8"/>
      <c r="F1704" s="8"/>
      <c r="G1704" s="8"/>
      <c r="H1704" s="8"/>
      <c r="I1704" s="9"/>
      <c r="J1704" s="9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7"/>
      <c r="B1705" s="8"/>
      <c r="C1705" s="8"/>
      <c r="D1705" s="8"/>
      <c r="E1705" s="8"/>
      <c r="F1705" s="8"/>
      <c r="G1705" s="8"/>
      <c r="H1705" s="8"/>
      <c r="I1705" s="9"/>
      <c r="J1705" s="9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7"/>
      <c r="B1706" s="8"/>
      <c r="C1706" s="8"/>
      <c r="D1706" s="8"/>
      <c r="E1706" s="8"/>
      <c r="F1706" s="8"/>
      <c r="G1706" s="8"/>
      <c r="H1706" s="8"/>
      <c r="I1706" s="9"/>
      <c r="J1706" s="9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7"/>
      <c r="B1707" s="8"/>
      <c r="C1707" s="8"/>
      <c r="D1707" s="8"/>
      <c r="E1707" s="8"/>
      <c r="F1707" s="8"/>
      <c r="G1707" s="8"/>
      <c r="H1707" s="8"/>
      <c r="I1707" s="9"/>
      <c r="J1707" s="9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7"/>
      <c r="B1708" s="8"/>
      <c r="C1708" s="8"/>
      <c r="D1708" s="8"/>
      <c r="E1708" s="8"/>
      <c r="F1708" s="8"/>
      <c r="G1708" s="8"/>
      <c r="H1708" s="8"/>
      <c r="I1708" s="9"/>
      <c r="J1708" s="9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7"/>
      <c r="B1709" s="8"/>
      <c r="C1709" s="8"/>
      <c r="D1709" s="8"/>
      <c r="E1709" s="8"/>
      <c r="F1709" s="8"/>
      <c r="G1709" s="8"/>
      <c r="H1709" s="8"/>
      <c r="I1709" s="9"/>
      <c r="J1709" s="9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7"/>
      <c r="B1710" s="8"/>
      <c r="C1710" s="8"/>
      <c r="D1710" s="8"/>
      <c r="E1710" s="8"/>
      <c r="F1710" s="8"/>
      <c r="G1710" s="8"/>
      <c r="H1710" s="8"/>
      <c r="I1710" s="9"/>
      <c r="J1710" s="9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7"/>
      <c r="B1711" s="8"/>
      <c r="C1711" s="8"/>
      <c r="D1711" s="8"/>
      <c r="E1711" s="8"/>
      <c r="F1711" s="8"/>
      <c r="G1711" s="8"/>
      <c r="H1711" s="8"/>
      <c r="I1711" s="9"/>
      <c r="J1711" s="9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7"/>
      <c r="B1712" s="8"/>
      <c r="C1712" s="8"/>
      <c r="D1712" s="8"/>
      <c r="E1712" s="8"/>
      <c r="F1712" s="8"/>
      <c r="G1712" s="8"/>
      <c r="H1712" s="8"/>
      <c r="I1712" s="9"/>
      <c r="J1712" s="9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7"/>
      <c r="B1713" s="8"/>
      <c r="C1713" s="8"/>
      <c r="D1713" s="8"/>
      <c r="E1713" s="8"/>
      <c r="F1713" s="8"/>
      <c r="G1713" s="8"/>
      <c r="H1713" s="8"/>
      <c r="I1713" s="9"/>
      <c r="J1713" s="9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7"/>
      <c r="B1714" s="8"/>
      <c r="C1714" s="8"/>
      <c r="D1714" s="8"/>
      <c r="E1714" s="8"/>
      <c r="F1714" s="8"/>
      <c r="G1714" s="8"/>
      <c r="H1714" s="8"/>
      <c r="I1714" s="9"/>
      <c r="J1714" s="9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7"/>
      <c r="B1715" s="8"/>
      <c r="C1715" s="8"/>
      <c r="D1715" s="8"/>
      <c r="E1715" s="8"/>
      <c r="F1715" s="8"/>
      <c r="G1715" s="8"/>
      <c r="H1715" s="8"/>
      <c r="I1715" s="9"/>
      <c r="J1715" s="9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7"/>
      <c r="B1716" s="8"/>
      <c r="C1716" s="8"/>
      <c r="D1716" s="8"/>
      <c r="E1716" s="8"/>
      <c r="F1716" s="8"/>
      <c r="G1716" s="8"/>
      <c r="H1716" s="8"/>
      <c r="I1716" s="9"/>
      <c r="J1716" s="9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7"/>
      <c r="B1717" s="8"/>
      <c r="C1717" s="8"/>
      <c r="D1717" s="8"/>
      <c r="E1717" s="8"/>
      <c r="F1717" s="8"/>
      <c r="G1717" s="8"/>
      <c r="H1717" s="8"/>
      <c r="I1717" s="9"/>
      <c r="J1717" s="9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7"/>
      <c r="B1718" s="8"/>
      <c r="C1718" s="8"/>
      <c r="D1718" s="8"/>
      <c r="E1718" s="8"/>
      <c r="F1718" s="8"/>
      <c r="G1718" s="8"/>
      <c r="H1718" s="8"/>
      <c r="I1718" s="9"/>
      <c r="J1718" s="9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7"/>
      <c r="B1719" s="8"/>
      <c r="C1719" s="8"/>
      <c r="D1719" s="8"/>
      <c r="E1719" s="8"/>
      <c r="F1719" s="8"/>
      <c r="G1719" s="8"/>
      <c r="H1719" s="8"/>
      <c r="I1719" s="9"/>
      <c r="J1719" s="9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7"/>
      <c r="B1720" s="8"/>
      <c r="C1720" s="8"/>
      <c r="D1720" s="8"/>
      <c r="E1720" s="8"/>
      <c r="F1720" s="8"/>
      <c r="G1720" s="8"/>
      <c r="H1720" s="8"/>
      <c r="I1720" s="9"/>
      <c r="J1720" s="9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7"/>
      <c r="B1721" s="8"/>
      <c r="C1721" s="8"/>
      <c r="D1721" s="8"/>
      <c r="E1721" s="8"/>
      <c r="F1721" s="8"/>
      <c r="G1721" s="8"/>
      <c r="H1721" s="8"/>
      <c r="I1721" s="9"/>
      <c r="J1721" s="9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7"/>
      <c r="B1722" s="8"/>
      <c r="C1722" s="8"/>
      <c r="D1722" s="8"/>
      <c r="E1722" s="8"/>
      <c r="F1722" s="8"/>
      <c r="G1722" s="8"/>
      <c r="H1722" s="8"/>
      <c r="I1722" s="9"/>
      <c r="J1722" s="9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7"/>
      <c r="B1723" s="8"/>
      <c r="C1723" s="8"/>
      <c r="D1723" s="8"/>
      <c r="E1723" s="8"/>
      <c r="F1723" s="8"/>
      <c r="G1723" s="8"/>
      <c r="H1723" s="8"/>
      <c r="I1723" s="9"/>
      <c r="J1723" s="9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7"/>
      <c r="B1724" s="8"/>
      <c r="C1724" s="8"/>
      <c r="D1724" s="8"/>
      <c r="E1724" s="8"/>
      <c r="F1724" s="8"/>
      <c r="G1724" s="8"/>
      <c r="H1724" s="8"/>
      <c r="I1724" s="9"/>
      <c r="J1724" s="9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7"/>
      <c r="B1725" s="8"/>
      <c r="C1725" s="8"/>
      <c r="D1725" s="8"/>
      <c r="E1725" s="8"/>
      <c r="F1725" s="8"/>
      <c r="G1725" s="8"/>
      <c r="H1725" s="8"/>
      <c r="I1725" s="9"/>
      <c r="J1725" s="9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7"/>
      <c r="B1726" s="8"/>
      <c r="C1726" s="8"/>
      <c r="D1726" s="8"/>
      <c r="E1726" s="8"/>
      <c r="F1726" s="8"/>
      <c r="G1726" s="8"/>
      <c r="H1726" s="8"/>
      <c r="I1726" s="9"/>
      <c r="J1726" s="9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7"/>
      <c r="B1727" s="8"/>
      <c r="C1727" s="8"/>
      <c r="D1727" s="8"/>
      <c r="E1727" s="8"/>
      <c r="F1727" s="8"/>
      <c r="G1727" s="8"/>
      <c r="H1727" s="8"/>
      <c r="I1727" s="9"/>
      <c r="J1727" s="9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7"/>
      <c r="B1728" s="8"/>
      <c r="C1728" s="8"/>
      <c r="D1728" s="8"/>
      <c r="E1728" s="8"/>
      <c r="F1728" s="8"/>
      <c r="G1728" s="8"/>
      <c r="H1728" s="8"/>
      <c r="I1728" s="9"/>
      <c r="J1728" s="9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7"/>
      <c r="B1729" s="8"/>
      <c r="C1729" s="8"/>
      <c r="D1729" s="8"/>
      <c r="E1729" s="8"/>
      <c r="F1729" s="8"/>
      <c r="G1729" s="8"/>
      <c r="H1729" s="8"/>
      <c r="I1729" s="9"/>
      <c r="J1729" s="9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7"/>
      <c r="B1730" s="8"/>
      <c r="C1730" s="8"/>
      <c r="D1730" s="8"/>
      <c r="E1730" s="8"/>
      <c r="F1730" s="8"/>
      <c r="G1730" s="8"/>
      <c r="H1730" s="8"/>
      <c r="I1730" s="9"/>
      <c r="J1730" s="9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7"/>
      <c r="B1731" s="8"/>
      <c r="C1731" s="8"/>
      <c r="D1731" s="8"/>
      <c r="E1731" s="8"/>
      <c r="F1731" s="8"/>
      <c r="G1731" s="8"/>
      <c r="H1731" s="8"/>
      <c r="I1731" s="9"/>
      <c r="J1731" s="9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7"/>
      <c r="B1732" s="8"/>
      <c r="C1732" s="8"/>
      <c r="D1732" s="8"/>
      <c r="E1732" s="8"/>
      <c r="F1732" s="8"/>
      <c r="G1732" s="8"/>
      <c r="H1732" s="8"/>
      <c r="I1732" s="9"/>
      <c r="J1732" s="9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7"/>
      <c r="B1733" s="8"/>
      <c r="C1733" s="8"/>
      <c r="D1733" s="8"/>
      <c r="E1733" s="8"/>
      <c r="F1733" s="8"/>
      <c r="G1733" s="8"/>
      <c r="H1733" s="8"/>
      <c r="I1733" s="9"/>
      <c r="J1733" s="9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7"/>
      <c r="B1734" s="8"/>
      <c r="C1734" s="8"/>
      <c r="D1734" s="8"/>
      <c r="E1734" s="8"/>
      <c r="F1734" s="8"/>
      <c r="G1734" s="8"/>
      <c r="H1734" s="8"/>
      <c r="I1734" s="9"/>
      <c r="J1734" s="9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7"/>
      <c r="B1735" s="8"/>
      <c r="C1735" s="8"/>
      <c r="D1735" s="8"/>
      <c r="E1735" s="8"/>
      <c r="F1735" s="8"/>
      <c r="G1735" s="8"/>
      <c r="H1735" s="8"/>
      <c r="I1735" s="9"/>
      <c r="J1735" s="9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7"/>
      <c r="B1736" s="8"/>
      <c r="C1736" s="8"/>
      <c r="D1736" s="8"/>
      <c r="E1736" s="8"/>
      <c r="F1736" s="8"/>
      <c r="G1736" s="8"/>
      <c r="H1736" s="8"/>
      <c r="I1736" s="9"/>
      <c r="J1736" s="9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7"/>
      <c r="B1737" s="8"/>
      <c r="C1737" s="8"/>
      <c r="D1737" s="8"/>
      <c r="E1737" s="8"/>
      <c r="F1737" s="8"/>
      <c r="G1737" s="8"/>
      <c r="H1737" s="8"/>
      <c r="I1737" s="9"/>
      <c r="J1737" s="9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7"/>
      <c r="B1738" s="8"/>
      <c r="C1738" s="8"/>
      <c r="D1738" s="8"/>
      <c r="E1738" s="8"/>
      <c r="F1738" s="8"/>
      <c r="G1738" s="8"/>
      <c r="H1738" s="8"/>
      <c r="I1738" s="9"/>
      <c r="J1738" s="9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7"/>
      <c r="B1739" s="8"/>
      <c r="C1739" s="8"/>
      <c r="D1739" s="8"/>
      <c r="E1739" s="8"/>
      <c r="F1739" s="8"/>
      <c r="G1739" s="8"/>
      <c r="H1739" s="8"/>
      <c r="I1739" s="9"/>
      <c r="J1739" s="9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7"/>
      <c r="B1740" s="8"/>
      <c r="C1740" s="8"/>
      <c r="D1740" s="8"/>
      <c r="E1740" s="8"/>
      <c r="F1740" s="8"/>
      <c r="G1740" s="8"/>
      <c r="H1740" s="8"/>
      <c r="I1740" s="9"/>
      <c r="J1740" s="9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7"/>
      <c r="B1741" s="8"/>
      <c r="C1741" s="8"/>
      <c r="D1741" s="8"/>
      <c r="E1741" s="8"/>
      <c r="F1741" s="8"/>
      <c r="G1741" s="8"/>
      <c r="H1741" s="8"/>
      <c r="I1741" s="9"/>
      <c r="J1741" s="9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7"/>
      <c r="B1742" s="8"/>
      <c r="C1742" s="8"/>
      <c r="D1742" s="8"/>
      <c r="E1742" s="8"/>
      <c r="F1742" s="8"/>
      <c r="G1742" s="8"/>
      <c r="H1742" s="8"/>
      <c r="I1742" s="9"/>
      <c r="J1742" s="9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7"/>
      <c r="B1743" s="8"/>
      <c r="C1743" s="8"/>
      <c r="D1743" s="8"/>
      <c r="E1743" s="8"/>
      <c r="F1743" s="8"/>
      <c r="G1743" s="8"/>
      <c r="H1743" s="8"/>
      <c r="I1743" s="9"/>
      <c r="J1743" s="9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7"/>
      <c r="B1744" s="8"/>
      <c r="C1744" s="8"/>
      <c r="D1744" s="8"/>
      <c r="E1744" s="8"/>
      <c r="F1744" s="8"/>
      <c r="G1744" s="8"/>
      <c r="H1744" s="8"/>
      <c r="I1744" s="9"/>
      <c r="J1744" s="9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7"/>
      <c r="B1745" s="8"/>
      <c r="C1745" s="8"/>
      <c r="D1745" s="8"/>
      <c r="E1745" s="8"/>
      <c r="F1745" s="8"/>
      <c r="G1745" s="8"/>
      <c r="H1745" s="8"/>
      <c r="I1745" s="9"/>
      <c r="J1745" s="9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7"/>
      <c r="B1746" s="8"/>
      <c r="C1746" s="8"/>
      <c r="D1746" s="8"/>
      <c r="E1746" s="8"/>
      <c r="F1746" s="8"/>
      <c r="G1746" s="8"/>
      <c r="H1746" s="8"/>
      <c r="I1746" s="9"/>
      <c r="J1746" s="9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7"/>
      <c r="B1747" s="8"/>
      <c r="C1747" s="8"/>
      <c r="D1747" s="8"/>
      <c r="E1747" s="8"/>
      <c r="F1747" s="8"/>
      <c r="G1747" s="8"/>
      <c r="H1747" s="8"/>
      <c r="I1747" s="9"/>
      <c r="J1747" s="9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7"/>
      <c r="B1748" s="8"/>
      <c r="C1748" s="8"/>
      <c r="D1748" s="8"/>
      <c r="E1748" s="8"/>
      <c r="F1748" s="8"/>
      <c r="G1748" s="8"/>
      <c r="H1748" s="8"/>
      <c r="I1748" s="9"/>
      <c r="J1748" s="9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7"/>
      <c r="B1749" s="8"/>
      <c r="C1749" s="8"/>
      <c r="D1749" s="8"/>
      <c r="E1749" s="8"/>
      <c r="F1749" s="8"/>
      <c r="G1749" s="8"/>
      <c r="H1749" s="8"/>
      <c r="I1749" s="9"/>
      <c r="J1749" s="9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7"/>
      <c r="B1750" s="8"/>
      <c r="C1750" s="8"/>
      <c r="D1750" s="8"/>
      <c r="E1750" s="8"/>
      <c r="F1750" s="8"/>
      <c r="G1750" s="8"/>
      <c r="H1750" s="8"/>
      <c r="I1750" s="9"/>
      <c r="J1750" s="9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7"/>
      <c r="B1751" s="8"/>
      <c r="C1751" s="8"/>
      <c r="D1751" s="8"/>
      <c r="E1751" s="8"/>
      <c r="F1751" s="8"/>
      <c r="G1751" s="8"/>
      <c r="H1751" s="8"/>
      <c r="I1751" s="9"/>
      <c r="J1751" s="9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7"/>
      <c r="B1752" s="8"/>
      <c r="C1752" s="8"/>
      <c r="D1752" s="8"/>
      <c r="E1752" s="8"/>
      <c r="F1752" s="8"/>
      <c r="G1752" s="8"/>
      <c r="H1752" s="8"/>
      <c r="I1752" s="9"/>
      <c r="J1752" s="9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7"/>
      <c r="B1753" s="8"/>
      <c r="C1753" s="8"/>
      <c r="D1753" s="8"/>
      <c r="E1753" s="8"/>
      <c r="F1753" s="8"/>
      <c r="G1753" s="8"/>
      <c r="H1753" s="8"/>
      <c r="I1753" s="9"/>
      <c r="J1753" s="9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7"/>
      <c r="B1754" s="8"/>
      <c r="C1754" s="8"/>
      <c r="D1754" s="8"/>
      <c r="E1754" s="8"/>
      <c r="F1754" s="8"/>
      <c r="G1754" s="8"/>
      <c r="H1754" s="8"/>
      <c r="I1754" s="9"/>
      <c r="J1754" s="9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7"/>
      <c r="B1755" s="8"/>
      <c r="C1755" s="8"/>
      <c r="D1755" s="8"/>
      <c r="E1755" s="8"/>
      <c r="F1755" s="8"/>
      <c r="G1755" s="8"/>
      <c r="H1755" s="8"/>
      <c r="I1755" s="9"/>
      <c r="J1755" s="9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7"/>
      <c r="B1756" s="8"/>
      <c r="C1756" s="8"/>
      <c r="D1756" s="8"/>
      <c r="E1756" s="8"/>
      <c r="F1756" s="8"/>
      <c r="G1756" s="8"/>
      <c r="H1756" s="8"/>
      <c r="I1756" s="9"/>
      <c r="J1756" s="9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7"/>
      <c r="B1757" s="8"/>
      <c r="C1757" s="8"/>
      <c r="D1757" s="8"/>
      <c r="E1757" s="8"/>
      <c r="F1757" s="8"/>
      <c r="G1757" s="8"/>
      <c r="H1757" s="8"/>
      <c r="I1757" s="9"/>
      <c r="J1757" s="9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7"/>
      <c r="B1758" s="8"/>
      <c r="C1758" s="8"/>
      <c r="D1758" s="8"/>
      <c r="E1758" s="8"/>
      <c r="F1758" s="8"/>
      <c r="G1758" s="8"/>
      <c r="H1758" s="8"/>
      <c r="I1758" s="9"/>
      <c r="J1758" s="9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7"/>
      <c r="B1759" s="8"/>
      <c r="C1759" s="8"/>
      <c r="D1759" s="8"/>
      <c r="E1759" s="8"/>
      <c r="F1759" s="8"/>
      <c r="G1759" s="8"/>
      <c r="H1759" s="8"/>
      <c r="I1759" s="9"/>
      <c r="J1759" s="9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7"/>
      <c r="B1760" s="8"/>
      <c r="C1760" s="8"/>
      <c r="D1760" s="8"/>
      <c r="E1760" s="8"/>
      <c r="F1760" s="8"/>
      <c r="G1760" s="8"/>
      <c r="H1760" s="8"/>
      <c r="I1760" s="9"/>
      <c r="J1760" s="9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7"/>
      <c r="B1761" s="8"/>
      <c r="C1761" s="8"/>
      <c r="D1761" s="8"/>
      <c r="E1761" s="8"/>
      <c r="F1761" s="8"/>
      <c r="G1761" s="8"/>
      <c r="H1761" s="8"/>
      <c r="I1761" s="9"/>
      <c r="J1761" s="9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7"/>
      <c r="B1762" s="8"/>
      <c r="C1762" s="8"/>
      <c r="D1762" s="8"/>
      <c r="E1762" s="8"/>
      <c r="F1762" s="8"/>
      <c r="G1762" s="8"/>
      <c r="H1762" s="8"/>
      <c r="I1762" s="9"/>
      <c r="J1762" s="9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7"/>
      <c r="B1763" s="8"/>
      <c r="C1763" s="8"/>
      <c r="D1763" s="8"/>
      <c r="E1763" s="8"/>
      <c r="F1763" s="8"/>
      <c r="G1763" s="8"/>
      <c r="H1763" s="8"/>
      <c r="I1763" s="9"/>
      <c r="J1763" s="9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7"/>
      <c r="B1764" s="8"/>
      <c r="C1764" s="8"/>
      <c r="D1764" s="8"/>
      <c r="E1764" s="8"/>
      <c r="F1764" s="8"/>
      <c r="G1764" s="8"/>
      <c r="H1764" s="8"/>
      <c r="I1764" s="9"/>
      <c r="J1764" s="9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7"/>
      <c r="B1765" s="8"/>
      <c r="C1765" s="8"/>
      <c r="D1765" s="8"/>
      <c r="E1765" s="8"/>
      <c r="F1765" s="8"/>
      <c r="G1765" s="8"/>
      <c r="H1765" s="8"/>
      <c r="I1765" s="9"/>
      <c r="J1765" s="9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7"/>
      <c r="B1766" s="8"/>
      <c r="C1766" s="8"/>
      <c r="D1766" s="8"/>
      <c r="E1766" s="8"/>
      <c r="F1766" s="8"/>
      <c r="G1766" s="8"/>
      <c r="H1766" s="8"/>
      <c r="I1766" s="9"/>
      <c r="J1766" s="9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7"/>
      <c r="B1767" s="8"/>
      <c r="C1767" s="8"/>
      <c r="D1767" s="8"/>
      <c r="E1767" s="8"/>
      <c r="F1767" s="8"/>
      <c r="G1767" s="8"/>
      <c r="H1767" s="8"/>
      <c r="I1767" s="9"/>
      <c r="J1767" s="9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7"/>
      <c r="B1768" s="8"/>
      <c r="C1768" s="8"/>
      <c r="D1768" s="8"/>
      <c r="E1768" s="8"/>
      <c r="F1768" s="8"/>
      <c r="G1768" s="8"/>
      <c r="H1768" s="8"/>
      <c r="I1768" s="9"/>
      <c r="J1768" s="9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7"/>
      <c r="B1769" s="8"/>
      <c r="C1769" s="8"/>
      <c r="D1769" s="8"/>
      <c r="E1769" s="8"/>
      <c r="F1769" s="8"/>
      <c r="G1769" s="8"/>
      <c r="H1769" s="8"/>
      <c r="I1769" s="9"/>
      <c r="J1769" s="9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7"/>
      <c r="B1770" s="8"/>
      <c r="C1770" s="8"/>
      <c r="D1770" s="8"/>
      <c r="E1770" s="8"/>
      <c r="F1770" s="8"/>
      <c r="G1770" s="8"/>
      <c r="H1770" s="8"/>
      <c r="I1770" s="9"/>
      <c r="J1770" s="9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7"/>
      <c r="B1771" s="8"/>
      <c r="C1771" s="8"/>
      <c r="D1771" s="8"/>
      <c r="E1771" s="8"/>
      <c r="F1771" s="8"/>
      <c r="G1771" s="8"/>
      <c r="H1771" s="8"/>
      <c r="I1771" s="9"/>
      <c r="J1771" s="9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7"/>
      <c r="B1772" s="8"/>
      <c r="C1772" s="8"/>
      <c r="D1772" s="8"/>
      <c r="E1772" s="8"/>
      <c r="F1772" s="8"/>
      <c r="G1772" s="8"/>
      <c r="H1772" s="8"/>
      <c r="I1772" s="9"/>
      <c r="J1772" s="9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7"/>
      <c r="B1773" s="8"/>
      <c r="C1773" s="8"/>
      <c r="D1773" s="8"/>
      <c r="E1773" s="8"/>
      <c r="F1773" s="8"/>
      <c r="G1773" s="8"/>
      <c r="H1773" s="8"/>
      <c r="I1773" s="9"/>
      <c r="J1773" s="9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7"/>
      <c r="B1774" s="8"/>
      <c r="C1774" s="8"/>
      <c r="D1774" s="8"/>
      <c r="E1774" s="8"/>
      <c r="F1774" s="8"/>
      <c r="G1774" s="8"/>
      <c r="H1774" s="8"/>
      <c r="I1774" s="9"/>
      <c r="J1774" s="9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7"/>
      <c r="B1775" s="8"/>
      <c r="C1775" s="8"/>
      <c r="D1775" s="8"/>
      <c r="E1775" s="8"/>
      <c r="F1775" s="8"/>
      <c r="G1775" s="8"/>
      <c r="H1775" s="8"/>
      <c r="I1775" s="9"/>
      <c r="J1775" s="9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7"/>
      <c r="B1776" s="8"/>
      <c r="C1776" s="8"/>
      <c r="D1776" s="8"/>
      <c r="E1776" s="8"/>
      <c r="F1776" s="8"/>
      <c r="G1776" s="8"/>
      <c r="H1776" s="8"/>
      <c r="I1776" s="9"/>
      <c r="J1776" s="9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7"/>
      <c r="B1777" s="8"/>
      <c r="C1777" s="8"/>
      <c r="D1777" s="8"/>
      <c r="E1777" s="8"/>
      <c r="F1777" s="8"/>
      <c r="G1777" s="8"/>
      <c r="H1777" s="8"/>
      <c r="I1777" s="9"/>
      <c r="J1777" s="9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7"/>
      <c r="B1778" s="8"/>
      <c r="C1778" s="8"/>
      <c r="D1778" s="8"/>
      <c r="E1778" s="8"/>
      <c r="F1778" s="8"/>
      <c r="G1778" s="8"/>
      <c r="H1778" s="8"/>
      <c r="I1778" s="9"/>
      <c r="J1778" s="9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7"/>
      <c r="B1779" s="8"/>
      <c r="C1779" s="8"/>
      <c r="D1779" s="8"/>
      <c r="E1779" s="8"/>
      <c r="F1779" s="8"/>
      <c r="G1779" s="8"/>
      <c r="H1779" s="8"/>
      <c r="I1779" s="9"/>
      <c r="J1779" s="9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7"/>
      <c r="B1780" s="8"/>
      <c r="C1780" s="8"/>
      <c r="D1780" s="8"/>
      <c r="E1780" s="8"/>
      <c r="F1780" s="8"/>
      <c r="G1780" s="8"/>
      <c r="H1780" s="8"/>
      <c r="I1780" s="9"/>
      <c r="J1780" s="9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7"/>
      <c r="B1781" s="8"/>
      <c r="C1781" s="8"/>
      <c r="D1781" s="8"/>
      <c r="E1781" s="8"/>
      <c r="F1781" s="8"/>
      <c r="G1781" s="8"/>
      <c r="H1781" s="8"/>
      <c r="I1781" s="9"/>
      <c r="J1781" s="9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7"/>
      <c r="B1782" s="8"/>
      <c r="C1782" s="8"/>
      <c r="D1782" s="8"/>
      <c r="E1782" s="8"/>
      <c r="F1782" s="8"/>
      <c r="G1782" s="8"/>
      <c r="H1782" s="8"/>
      <c r="I1782" s="9"/>
      <c r="J1782" s="9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7"/>
      <c r="B1783" s="8"/>
      <c r="C1783" s="8"/>
      <c r="D1783" s="8"/>
      <c r="E1783" s="8"/>
      <c r="F1783" s="8"/>
      <c r="G1783" s="8"/>
      <c r="H1783" s="8"/>
      <c r="I1783" s="9"/>
      <c r="J1783" s="9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7"/>
      <c r="B1784" s="8"/>
      <c r="C1784" s="8"/>
      <c r="D1784" s="8"/>
      <c r="E1784" s="8"/>
      <c r="F1784" s="8"/>
      <c r="G1784" s="8"/>
      <c r="H1784" s="8"/>
      <c r="I1784" s="9"/>
      <c r="J1784" s="9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7"/>
      <c r="B1785" s="8"/>
      <c r="C1785" s="8"/>
      <c r="D1785" s="8"/>
      <c r="E1785" s="8"/>
      <c r="F1785" s="8"/>
      <c r="G1785" s="8"/>
      <c r="H1785" s="8"/>
      <c r="I1785" s="9"/>
      <c r="J1785" s="9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7"/>
      <c r="B1786" s="8"/>
      <c r="C1786" s="8"/>
      <c r="D1786" s="8"/>
      <c r="E1786" s="8"/>
      <c r="F1786" s="8"/>
      <c r="G1786" s="8"/>
      <c r="H1786" s="8"/>
      <c r="I1786" s="9"/>
      <c r="J1786" s="9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7"/>
      <c r="B1787" s="8"/>
      <c r="C1787" s="8"/>
      <c r="D1787" s="8"/>
      <c r="E1787" s="8"/>
      <c r="F1787" s="8"/>
      <c r="G1787" s="8"/>
      <c r="H1787" s="8"/>
      <c r="I1787" s="9"/>
      <c r="J1787" s="9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7"/>
      <c r="B1788" s="8"/>
      <c r="C1788" s="8"/>
      <c r="D1788" s="8"/>
      <c r="E1788" s="8"/>
      <c r="F1788" s="8"/>
      <c r="G1788" s="8"/>
      <c r="H1788" s="8"/>
      <c r="I1788" s="9"/>
      <c r="J1788" s="9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7"/>
      <c r="B1789" s="8"/>
      <c r="C1789" s="8"/>
      <c r="D1789" s="8"/>
      <c r="E1789" s="8"/>
      <c r="F1789" s="8"/>
      <c r="G1789" s="8"/>
      <c r="H1789" s="8"/>
      <c r="I1789" s="9"/>
      <c r="J1789" s="9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7"/>
      <c r="B1790" s="8"/>
      <c r="C1790" s="8"/>
      <c r="D1790" s="8"/>
      <c r="E1790" s="8"/>
      <c r="F1790" s="8"/>
      <c r="G1790" s="8"/>
      <c r="H1790" s="8"/>
      <c r="I1790" s="9"/>
      <c r="J1790" s="9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7"/>
      <c r="B1791" s="8"/>
      <c r="C1791" s="8"/>
      <c r="D1791" s="8"/>
      <c r="E1791" s="8"/>
      <c r="F1791" s="8"/>
      <c r="G1791" s="8"/>
      <c r="H1791" s="8"/>
      <c r="I1791" s="9"/>
      <c r="J1791" s="9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7"/>
      <c r="B1792" s="8"/>
      <c r="C1792" s="8"/>
      <c r="D1792" s="8"/>
      <c r="E1792" s="8"/>
      <c r="F1792" s="8"/>
      <c r="G1792" s="8"/>
      <c r="H1792" s="8"/>
      <c r="I1792" s="9"/>
      <c r="J1792" s="9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7"/>
      <c r="B1793" s="8"/>
      <c r="C1793" s="8"/>
      <c r="D1793" s="8"/>
      <c r="E1793" s="8"/>
      <c r="F1793" s="8"/>
      <c r="G1793" s="8"/>
      <c r="H1793" s="8"/>
      <c r="I1793" s="9"/>
      <c r="J1793" s="9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7"/>
      <c r="B1794" s="8"/>
      <c r="C1794" s="8"/>
      <c r="D1794" s="8"/>
      <c r="E1794" s="8"/>
      <c r="F1794" s="8"/>
      <c r="G1794" s="8"/>
      <c r="H1794" s="8"/>
      <c r="I1794" s="9"/>
      <c r="J1794" s="9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7"/>
      <c r="B1795" s="8"/>
      <c r="C1795" s="8"/>
      <c r="D1795" s="8"/>
      <c r="E1795" s="8"/>
      <c r="F1795" s="8"/>
      <c r="G1795" s="8"/>
      <c r="H1795" s="8"/>
      <c r="I1795" s="9"/>
      <c r="J1795" s="9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7"/>
      <c r="B1796" s="8"/>
      <c r="C1796" s="8"/>
      <c r="D1796" s="8"/>
      <c r="E1796" s="8"/>
      <c r="F1796" s="8"/>
      <c r="G1796" s="8"/>
      <c r="H1796" s="8"/>
      <c r="I1796" s="9"/>
      <c r="J1796" s="9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7"/>
      <c r="B1797" s="8"/>
      <c r="C1797" s="8"/>
      <c r="D1797" s="8"/>
      <c r="E1797" s="8"/>
      <c r="F1797" s="8"/>
      <c r="G1797" s="8"/>
      <c r="H1797" s="8"/>
      <c r="I1797" s="9"/>
      <c r="J1797" s="9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7"/>
      <c r="B1798" s="8"/>
      <c r="C1798" s="8"/>
      <c r="D1798" s="8"/>
      <c r="E1798" s="8"/>
      <c r="F1798" s="8"/>
      <c r="G1798" s="8"/>
      <c r="H1798" s="8"/>
      <c r="I1798" s="9"/>
      <c r="J1798" s="9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7"/>
      <c r="B1799" s="8"/>
      <c r="C1799" s="8"/>
      <c r="D1799" s="8"/>
      <c r="E1799" s="8"/>
      <c r="F1799" s="8"/>
      <c r="G1799" s="8"/>
      <c r="H1799" s="8"/>
      <c r="I1799" s="9"/>
      <c r="J1799" s="9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7"/>
      <c r="B1800" s="8"/>
      <c r="C1800" s="8"/>
      <c r="D1800" s="8"/>
      <c r="E1800" s="8"/>
      <c r="F1800" s="8"/>
      <c r="G1800" s="8"/>
      <c r="H1800" s="8"/>
      <c r="I1800" s="9"/>
      <c r="J1800" s="9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7"/>
      <c r="B1801" s="8"/>
      <c r="C1801" s="8"/>
      <c r="D1801" s="8"/>
      <c r="E1801" s="8"/>
      <c r="F1801" s="8"/>
      <c r="G1801" s="8"/>
      <c r="H1801" s="8"/>
      <c r="I1801" s="9"/>
      <c r="J1801" s="9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7"/>
      <c r="B1802" s="8"/>
      <c r="C1802" s="8"/>
      <c r="D1802" s="8"/>
      <c r="E1802" s="8"/>
      <c r="F1802" s="8"/>
      <c r="G1802" s="8"/>
      <c r="H1802" s="8"/>
      <c r="I1802" s="9"/>
      <c r="J1802" s="9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7"/>
      <c r="B1803" s="8"/>
      <c r="C1803" s="8"/>
      <c r="D1803" s="8"/>
      <c r="E1803" s="8"/>
      <c r="F1803" s="8"/>
      <c r="G1803" s="8"/>
      <c r="H1803" s="8"/>
      <c r="I1803" s="9"/>
      <c r="J1803" s="9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7"/>
      <c r="B1804" s="8"/>
      <c r="C1804" s="8"/>
      <c r="D1804" s="8"/>
      <c r="E1804" s="8"/>
      <c r="F1804" s="8"/>
      <c r="G1804" s="8"/>
      <c r="H1804" s="8"/>
      <c r="I1804" s="9"/>
      <c r="J1804" s="9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7"/>
      <c r="B1805" s="8"/>
      <c r="C1805" s="8"/>
      <c r="D1805" s="8"/>
      <c r="E1805" s="8"/>
      <c r="F1805" s="8"/>
      <c r="G1805" s="8"/>
      <c r="H1805" s="8"/>
      <c r="I1805" s="9"/>
      <c r="J1805" s="9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7"/>
      <c r="B1806" s="8"/>
      <c r="C1806" s="8"/>
      <c r="D1806" s="8"/>
      <c r="E1806" s="8"/>
      <c r="F1806" s="8"/>
      <c r="G1806" s="8"/>
      <c r="H1806" s="8"/>
      <c r="I1806" s="9"/>
      <c r="J1806" s="9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7"/>
      <c r="B1807" s="8"/>
      <c r="C1807" s="8"/>
      <c r="D1807" s="8"/>
      <c r="E1807" s="8"/>
      <c r="F1807" s="8"/>
      <c r="G1807" s="8"/>
      <c r="H1807" s="8"/>
      <c r="I1807" s="9"/>
      <c r="J1807" s="9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7"/>
      <c r="B1808" s="8"/>
      <c r="C1808" s="8"/>
      <c r="D1808" s="8"/>
      <c r="E1808" s="8"/>
      <c r="F1808" s="8"/>
      <c r="G1808" s="8"/>
      <c r="H1808" s="8"/>
      <c r="I1808" s="9"/>
      <c r="J1808" s="9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7"/>
      <c r="B1809" s="8"/>
      <c r="C1809" s="8"/>
      <c r="D1809" s="8"/>
      <c r="E1809" s="8"/>
      <c r="F1809" s="8"/>
      <c r="G1809" s="8"/>
      <c r="H1809" s="8"/>
      <c r="I1809" s="9"/>
      <c r="J1809" s="9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7"/>
      <c r="B1810" s="8"/>
      <c r="C1810" s="8"/>
      <c r="D1810" s="8"/>
      <c r="E1810" s="8"/>
      <c r="F1810" s="8"/>
      <c r="G1810" s="8"/>
      <c r="H1810" s="8"/>
      <c r="I1810" s="9"/>
      <c r="J1810" s="9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7"/>
      <c r="B1811" s="8"/>
      <c r="C1811" s="8"/>
      <c r="D1811" s="8"/>
      <c r="E1811" s="8"/>
      <c r="F1811" s="8"/>
      <c r="G1811" s="8"/>
      <c r="H1811" s="8"/>
      <c r="I1811" s="9"/>
      <c r="J1811" s="9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7"/>
      <c r="B1812" s="8"/>
      <c r="C1812" s="8"/>
      <c r="D1812" s="8"/>
      <c r="E1812" s="8"/>
      <c r="F1812" s="8"/>
      <c r="G1812" s="8"/>
      <c r="H1812" s="8"/>
      <c r="I1812" s="9"/>
      <c r="J1812" s="9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7"/>
      <c r="B1813" s="8"/>
      <c r="C1813" s="8"/>
      <c r="D1813" s="8"/>
      <c r="E1813" s="8"/>
      <c r="F1813" s="8"/>
      <c r="G1813" s="8"/>
      <c r="H1813" s="8"/>
      <c r="I1813" s="9"/>
      <c r="J1813" s="9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7"/>
      <c r="B1814" s="8"/>
      <c r="C1814" s="8"/>
      <c r="D1814" s="8"/>
      <c r="E1814" s="8"/>
      <c r="F1814" s="8"/>
      <c r="G1814" s="8"/>
      <c r="H1814" s="8"/>
      <c r="I1814" s="9"/>
      <c r="J1814" s="9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7"/>
      <c r="B1815" s="8"/>
      <c r="C1815" s="8"/>
      <c r="D1815" s="8"/>
      <c r="E1815" s="8"/>
      <c r="F1815" s="8"/>
      <c r="G1815" s="8"/>
      <c r="H1815" s="8"/>
      <c r="I1815" s="9"/>
      <c r="J1815" s="9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7"/>
      <c r="B1816" s="8"/>
      <c r="C1816" s="8"/>
      <c r="D1816" s="8"/>
      <c r="E1816" s="8"/>
      <c r="F1816" s="8"/>
      <c r="G1816" s="8"/>
      <c r="H1816" s="8"/>
      <c r="I1816" s="9"/>
      <c r="J1816" s="9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7"/>
      <c r="B1817" s="8"/>
      <c r="C1817" s="8"/>
      <c r="D1817" s="8"/>
      <c r="E1817" s="8"/>
      <c r="F1817" s="8"/>
      <c r="G1817" s="8"/>
      <c r="H1817" s="8"/>
      <c r="I1817" s="9"/>
      <c r="J1817" s="9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7"/>
      <c r="B1818" s="8"/>
      <c r="C1818" s="8"/>
      <c r="D1818" s="8"/>
      <c r="E1818" s="8"/>
      <c r="F1818" s="8"/>
      <c r="G1818" s="8"/>
      <c r="H1818" s="8"/>
      <c r="I1818" s="9"/>
      <c r="J1818" s="9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7"/>
      <c r="B1819" s="8"/>
      <c r="C1819" s="8"/>
      <c r="D1819" s="8"/>
      <c r="E1819" s="8"/>
      <c r="F1819" s="8"/>
      <c r="G1819" s="8"/>
      <c r="H1819" s="8"/>
      <c r="I1819" s="9"/>
      <c r="J1819" s="9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7"/>
      <c r="B1820" s="8"/>
      <c r="C1820" s="8"/>
      <c r="D1820" s="8"/>
      <c r="E1820" s="8"/>
      <c r="F1820" s="8"/>
      <c r="G1820" s="8"/>
      <c r="H1820" s="8"/>
      <c r="I1820" s="9"/>
      <c r="J1820" s="9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7"/>
      <c r="B1821" s="8"/>
      <c r="C1821" s="8"/>
      <c r="D1821" s="8"/>
      <c r="E1821" s="8"/>
      <c r="F1821" s="8"/>
      <c r="G1821" s="8"/>
      <c r="H1821" s="8"/>
      <c r="I1821" s="9"/>
      <c r="J1821" s="9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7"/>
      <c r="B1822" s="8"/>
      <c r="C1822" s="8"/>
      <c r="D1822" s="8"/>
      <c r="E1822" s="8"/>
      <c r="F1822" s="8"/>
      <c r="G1822" s="8"/>
      <c r="H1822" s="8"/>
      <c r="I1822" s="9"/>
      <c r="J1822" s="9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7"/>
      <c r="B1823" s="8"/>
      <c r="C1823" s="8"/>
      <c r="D1823" s="8"/>
      <c r="E1823" s="8"/>
      <c r="F1823" s="8"/>
      <c r="G1823" s="8"/>
      <c r="H1823" s="8"/>
      <c r="I1823" s="9"/>
      <c r="J1823" s="9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7"/>
      <c r="B1824" s="8"/>
      <c r="C1824" s="8"/>
      <c r="D1824" s="8"/>
      <c r="E1824" s="8"/>
      <c r="F1824" s="8"/>
      <c r="G1824" s="8"/>
      <c r="H1824" s="8"/>
      <c r="I1824" s="9"/>
      <c r="J1824" s="9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7"/>
      <c r="B1825" s="8"/>
      <c r="C1825" s="8"/>
      <c r="D1825" s="8"/>
      <c r="E1825" s="8"/>
      <c r="F1825" s="8"/>
      <c r="G1825" s="8"/>
      <c r="H1825" s="8"/>
      <c r="I1825" s="9"/>
      <c r="J1825" s="9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7"/>
      <c r="B1826" s="8"/>
      <c r="C1826" s="8"/>
      <c r="D1826" s="8"/>
      <c r="E1826" s="8"/>
      <c r="F1826" s="8"/>
      <c r="G1826" s="8"/>
      <c r="H1826" s="8"/>
      <c r="I1826" s="9"/>
      <c r="J1826" s="9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7"/>
      <c r="B1827" s="8"/>
      <c r="C1827" s="8"/>
      <c r="D1827" s="8"/>
      <c r="E1827" s="8"/>
      <c r="F1827" s="8"/>
      <c r="G1827" s="8"/>
      <c r="H1827" s="8"/>
      <c r="I1827" s="9"/>
      <c r="J1827" s="9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7"/>
      <c r="B1828" s="8"/>
      <c r="C1828" s="8"/>
      <c r="D1828" s="8"/>
      <c r="E1828" s="8"/>
      <c r="F1828" s="8"/>
      <c r="G1828" s="8"/>
      <c r="H1828" s="8"/>
      <c r="I1828" s="9"/>
      <c r="J1828" s="9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7"/>
      <c r="B1829" s="8"/>
      <c r="C1829" s="8"/>
      <c r="D1829" s="8"/>
      <c r="E1829" s="8"/>
      <c r="F1829" s="8"/>
      <c r="G1829" s="8"/>
      <c r="H1829" s="8"/>
      <c r="I1829" s="9"/>
      <c r="J1829" s="9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7"/>
      <c r="B1830" s="8"/>
      <c r="C1830" s="8"/>
      <c r="D1830" s="8"/>
      <c r="E1830" s="8"/>
      <c r="F1830" s="8"/>
      <c r="G1830" s="8"/>
      <c r="H1830" s="8"/>
      <c r="I1830" s="9"/>
      <c r="J1830" s="9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7"/>
      <c r="B1831" s="8"/>
      <c r="C1831" s="8"/>
      <c r="D1831" s="8"/>
      <c r="E1831" s="8"/>
      <c r="F1831" s="8"/>
      <c r="G1831" s="8"/>
      <c r="H1831" s="8"/>
      <c r="I1831" s="9"/>
      <c r="J1831" s="9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7"/>
      <c r="B1832" s="8"/>
      <c r="C1832" s="8"/>
      <c r="D1832" s="8"/>
      <c r="E1832" s="8"/>
      <c r="F1832" s="8"/>
      <c r="G1832" s="8"/>
      <c r="H1832" s="8"/>
      <c r="I1832" s="9"/>
      <c r="J1832" s="9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7"/>
      <c r="B1833" s="8"/>
      <c r="C1833" s="8"/>
      <c r="D1833" s="8"/>
      <c r="E1833" s="8"/>
      <c r="F1833" s="8"/>
      <c r="G1833" s="8"/>
      <c r="H1833" s="8"/>
      <c r="I1833" s="9"/>
      <c r="J1833" s="9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7"/>
      <c r="B1834" s="8"/>
      <c r="C1834" s="8"/>
      <c r="D1834" s="8"/>
      <c r="E1834" s="8"/>
      <c r="F1834" s="8"/>
      <c r="G1834" s="8"/>
      <c r="H1834" s="8"/>
      <c r="I1834" s="9"/>
      <c r="J1834" s="9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7"/>
      <c r="B1835" s="8"/>
      <c r="C1835" s="8"/>
      <c r="D1835" s="8"/>
      <c r="E1835" s="8"/>
      <c r="F1835" s="8"/>
      <c r="G1835" s="8"/>
      <c r="H1835" s="8"/>
      <c r="I1835" s="9"/>
      <c r="J1835" s="9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7"/>
      <c r="B1836" s="8"/>
      <c r="C1836" s="8"/>
      <c r="D1836" s="8"/>
      <c r="E1836" s="8"/>
      <c r="F1836" s="8"/>
      <c r="G1836" s="8"/>
      <c r="H1836" s="8"/>
      <c r="I1836" s="9"/>
      <c r="J1836" s="9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7"/>
      <c r="B1837" s="8"/>
      <c r="C1837" s="8"/>
      <c r="D1837" s="8"/>
      <c r="E1837" s="8"/>
      <c r="F1837" s="8"/>
      <c r="G1837" s="8"/>
      <c r="H1837" s="8"/>
      <c r="I1837" s="9"/>
      <c r="J1837" s="9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7"/>
      <c r="B1838" s="8"/>
      <c r="C1838" s="8"/>
      <c r="D1838" s="8"/>
      <c r="E1838" s="8"/>
      <c r="F1838" s="8"/>
      <c r="G1838" s="8"/>
      <c r="H1838" s="8"/>
      <c r="I1838" s="9"/>
      <c r="J1838" s="9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7"/>
      <c r="B1839" s="8"/>
      <c r="C1839" s="8"/>
      <c r="D1839" s="8"/>
      <c r="E1839" s="8"/>
      <c r="F1839" s="8"/>
      <c r="G1839" s="8"/>
      <c r="H1839" s="8"/>
      <c r="I1839" s="9"/>
      <c r="J1839" s="9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7"/>
      <c r="B1840" s="8"/>
      <c r="C1840" s="8"/>
      <c r="D1840" s="8"/>
      <c r="E1840" s="8"/>
      <c r="F1840" s="8"/>
      <c r="G1840" s="8"/>
      <c r="H1840" s="8"/>
      <c r="I1840" s="9"/>
      <c r="J1840" s="9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7"/>
      <c r="B1841" s="8"/>
      <c r="C1841" s="8"/>
      <c r="D1841" s="8"/>
      <c r="E1841" s="8"/>
      <c r="F1841" s="8"/>
      <c r="G1841" s="8"/>
      <c r="H1841" s="8"/>
      <c r="I1841" s="9"/>
      <c r="J1841" s="9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7"/>
      <c r="B1842" s="8"/>
      <c r="C1842" s="8"/>
      <c r="D1842" s="8"/>
      <c r="E1842" s="8"/>
      <c r="F1842" s="8"/>
      <c r="G1842" s="8"/>
      <c r="H1842" s="8"/>
      <c r="I1842" s="9"/>
      <c r="J1842" s="9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7"/>
      <c r="B1843" s="8"/>
      <c r="C1843" s="8"/>
      <c r="D1843" s="8"/>
      <c r="E1843" s="8"/>
      <c r="F1843" s="8"/>
      <c r="G1843" s="8"/>
      <c r="H1843" s="8"/>
      <c r="I1843" s="9"/>
      <c r="J1843" s="9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7"/>
      <c r="B1844" s="8"/>
      <c r="C1844" s="8"/>
      <c r="D1844" s="8"/>
      <c r="E1844" s="8"/>
      <c r="F1844" s="8"/>
      <c r="G1844" s="8"/>
      <c r="H1844" s="8"/>
      <c r="I1844" s="9"/>
      <c r="J1844" s="9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7"/>
      <c r="B1845" s="8"/>
      <c r="C1845" s="8"/>
      <c r="D1845" s="8"/>
      <c r="E1845" s="8"/>
      <c r="F1845" s="8"/>
      <c r="G1845" s="8"/>
      <c r="H1845" s="8"/>
      <c r="I1845" s="9"/>
      <c r="J1845" s="9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7"/>
      <c r="B1846" s="8"/>
      <c r="C1846" s="8"/>
      <c r="D1846" s="8"/>
      <c r="E1846" s="8"/>
      <c r="F1846" s="8"/>
      <c r="G1846" s="8"/>
      <c r="H1846" s="8"/>
      <c r="I1846" s="9"/>
      <c r="J1846" s="9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7"/>
      <c r="B1847" s="8"/>
      <c r="C1847" s="8"/>
      <c r="D1847" s="8"/>
      <c r="E1847" s="8"/>
      <c r="F1847" s="8"/>
      <c r="G1847" s="8"/>
      <c r="H1847" s="8"/>
      <c r="I1847" s="9"/>
      <c r="J1847" s="9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7"/>
      <c r="B1848" s="8"/>
      <c r="C1848" s="8"/>
      <c r="D1848" s="8"/>
      <c r="E1848" s="8"/>
      <c r="F1848" s="8"/>
      <c r="G1848" s="8"/>
      <c r="H1848" s="8"/>
      <c r="I1848" s="9"/>
      <c r="J1848" s="9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7"/>
      <c r="B1849" s="8"/>
      <c r="C1849" s="8"/>
      <c r="D1849" s="8"/>
      <c r="E1849" s="8"/>
      <c r="F1849" s="8"/>
      <c r="G1849" s="8"/>
      <c r="H1849" s="8"/>
      <c r="I1849" s="9"/>
      <c r="J1849" s="9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7"/>
      <c r="B1850" s="8"/>
      <c r="C1850" s="8"/>
      <c r="D1850" s="8"/>
      <c r="E1850" s="8"/>
      <c r="F1850" s="8"/>
      <c r="G1850" s="8"/>
      <c r="H1850" s="8"/>
      <c r="I1850" s="9"/>
      <c r="J1850" s="9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7"/>
      <c r="B1851" s="8"/>
      <c r="C1851" s="8"/>
      <c r="D1851" s="8"/>
      <c r="E1851" s="8"/>
      <c r="F1851" s="8"/>
      <c r="G1851" s="8"/>
      <c r="H1851" s="8"/>
      <c r="I1851" s="9"/>
      <c r="J1851" s="9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7"/>
      <c r="B1852" s="8"/>
      <c r="C1852" s="8"/>
      <c r="D1852" s="8"/>
      <c r="E1852" s="8"/>
      <c r="F1852" s="8"/>
      <c r="G1852" s="8"/>
      <c r="H1852" s="8"/>
      <c r="I1852" s="9"/>
      <c r="J1852" s="9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7"/>
      <c r="B1853" s="8"/>
      <c r="C1853" s="8"/>
      <c r="D1853" s="8"/>
      <c r="E1853" s="8"/>
      <c r="F1853" s="8"/>
      <c r="G1853" s="8"/>
      <c r="H1853" s="8"/>
      <c r="I1853" s="9"/>
      <c r="J1853" s="9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7"/>
      <c r="B1854" s="8"/>
      <c r="C1854" s="8"/>
      <c r="D1854" s="8"/>
      <c r="E1854" s="8"/>
      <c r="F1854" s="8"/>
      <c r="G1854" s="8"/>
      <c r="H1854" s="8"/>
      <c r="I1854" s="9"/>
      <c r="J1854" s="9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7"/>
      <c r="B1855" s="8"/>
      <c r="C1855" s="8"/>
      <c r="D1855" s="8"/>
      <c r="E1855" s="8"/>
      <c r="F1855" s="8"/>
      <c r="G1855" s="8"/>
      <c r="H1855" s="8"/>
      <c r="I1855" s="9"/>
      <c r="J1855" s="9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7"/>
      <c r="B1856" s="8"/>
      <c r="C1856" s="8"/>
      <c r="D1856" s="8"/>
      <c r="E1856" s="8"/>
      <c r="F1856" s="8"/>
      <c r="G1856" s="8"/>
      <c r="H1856" s="8"/>
      <c r="I1856" s="9"/>
      <c r="J1856" s="9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7"/>
      <c r="B1857" s="8"/>
      <c r="C1857" s="8"/>
      <c r="D1857" s="8"/>
      <c r="E1857" s="8"/>
      <c r="F1857" s="8"/>
      <c r="G1857" s="8"/>
      <c r="H1857" s="8"/>
      <c r="I1857" s="9"/>
      <c r="J1857" s="9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7"/>
      <c r="B1858" s="8"/>
      <c r="C1858" s="8"/>
      <c r="D1858" s="8"/>
      <c r="E1858" s="8"/>
      <c r="F1858" s="8"/>
      <c r="G1858" s="8"/>
      <c r="H1858" s="8"/>
      <c r="I1858" s="9"/>
      <c r="J1858" s="9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7"/>
      <c r="B1859" s="8"/>
      <c r="C1859" s="8"/>
      <c r="D1859" s="8"/>
      <c r="E1859" s="8"/>
      <c r="F1859" s="8"/>
      <c r="G1859" s="8"/>
      <c r="H1859" s="8"/>
      <c r="I1859" s="9"/>
      <c r="J1859" s="9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7"/>
      <c r="B1860" s="8"/>
      <c r="C1860" s="8"/>
      <c r="D1860" s="8"/>
      <c r="E1860" s="8"/>
      <c r="F1860" s="8"/>
      <c r="G1860" s="8"/>
      <c r="H1860" s="8"/>
      <c r="I1860" s="9"/>
      <c r="J1860" s="9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7"/>
      <c r="B1861" s="8"/>
      <c r="C1861" s="8"/>
      <c r="D1861" s="8"/>
      <c r="E1861" s="8"/>
      <c r="F1861" s="8"/>
      <c r="G1861" s="8"/>
      <c r="H1861" s="8"/>
      <c r="I1861" s="9"/>
      <c r="J1861" s="9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7"/>
      <c r="B1862" s="8"/>
      <c r="C1862" s="8"/>
      <c r="D1862" s="8"/>
      <c r="E1862" s="8"/>
      <c r="F1862" s="8"/>
      <c r="G1862" s="8"/>
      <c r="H1862" s="8"/>
      <c r="I1862" s="9"/>
      <c r="J1862" s="9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7"/>
      <c r="B1863" s="8"/>
      <c r="C1863" s="8"/>
      <c r="D1863" s="8"/>
      <c r="E1863" s="8"/>
      <c r="F1863" s="8"/>
      <c r="G1863" s="8"/>
      <c r="H1863" s="8"/>
      <c r="I1863" s="9"/>
      <c r="J1863" s="9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7"/>
      <c r="B1864" s="8"/>
      <c r="C1864" s="8"/>
      <c r="D1864" s="8"/>
      <c r="E1864" s="8"/>
      <c r="F1864" s="8"/>
      <c r="G1864" s="8"/>
      <c r="H1864" s="8"/>
      <c r="I1864" s="9"/>
      <c r="J1864" s="9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7"/>
      <c r="B1865" s="8"/>
      <c r="C1865" s="8"/>
      <c r="D1865" s="8"/>
      <c r="E1865" s="8"/>
      <c r="F1865" s="8"/>
      <c r="G1865" s="8"/>
      <c r="H1865" s="8"/>
      <c r="I1865" s="9"/>
      <c r="J1865" s="9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7"/>
      <c r="B1866" s="8"/>
      <c r="C1866" s="8"/>
      <c r="D1866" s="8"/>
      <c r="E1866" s="8"/>
      <c r="F1866" s="8"/>
      <c r="G1866" s="8"/>
      <c r="H1866" s="8"/>
      <c r="I1866" s="9"/>
      <c r="J1866" s="9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7"/>
      <c r="B1867" s="8"/>
      <c r="C1867" s="8"/>
      <c r="D1867" s="8"/>
      <c r="E1867" s="8"/>
      <c r="F1867" s="8"/>
      <c r="G1867" s="8"/>
      <c r="H1867" s="8"/>
      <c r="I1867" s="9"/>
      <c r="J1867" s="9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7"/>
      <c r="B1868" s="8"/>
      <c r="C1868" s="8"/>
      <c r="D1868" s="8"/>
      <c r="E1868" s="8"/>
      <c r="F1868" s="8"/>
      <c r="G1868" s="8"/>
      <c r="H1868" s="8"/>
      <c r="I1868" s="9"/>
      <c r="J1868" s="9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7"/>
      <c r="B1869" s="8"/>
      <c r="C1869" s="8"/>
      <c r="D1869" s="8"/>
      <c r="E1869" s="8"/>
      <c r="F1869" s="8"/>
      <c r="G1869" s="8"/>
      <c r="H1869" s="8"/>
      <c r="I1869" s="9"/>
      <c r="J1869" s="9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7"/>
      <c r="B1870" s="8"/>
      <c r="C1870" s="8"/>
      <c r="D1870" s="8"/>
      <c r="E1870" s="8"/>
      <c r="F1870" s="8"/>
      <c r="G1870" s="8"/>
      <c r="H1870" s="8"/>
      <c r="I1870" s="9"/>
      <c r="J1870" s="9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7"/>
      <c r="B1871" s="8"/>
      <c r="C1871" s="8"/>
      <c r="D1871" s="8"/>
      <c r="E1871" s="8"/>
      <c r="F1871" s="8"/>
      <c r="G1871" s="8"/>
      <c r="H1871" s="8"/>
      <c r="I1871" s="9"/>
      <c r="J1871" s="9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7"/>
      <c r="B1872" s="8"/>
      <c r="C1872" s="8"/>
      <c r="D1872" s="8"/>
      <c r="E1872" s="8"/>
      <c r="F1872" s="8"/>
      <c r="G1872" s="8"/>
      <c r="H1872" s="8"/>
      <c r="I1872" s="9"/>
      <c r="J1872" s="9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7"/>
      <c r="B1873" s="8"/>
      <c r="C1873" s="8"/>
      <c r="D1873" s="8"/>
      <c r="E1873" s="8"/>
      <c r="F1873" s="8"/>
      <c r="G1873" s="8"/>
      <c r="H1873" s="8"/>
      <c r="I1873" s="9"/>
      <c r="J1873" s="9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7"/>
      <c r="B1874" s="8"/>
      <c r="C1874" s="8"/>
      <c r="D1874" s="8"/>
      <c r="E1874" s="8"/>
      <c r="F1874" s="8"/>
      <c r="G1874" s="8"/>
      <c r="H1874" s="8"/>
      <c r="I1874" s="9"/>
      <c r="J1874" s="9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7"/>
      <c r="B1875" s="8"/>
      <c r="C1875" s="8"/>
      <c r="D1875" s="8"/>
      <c r="E1875" s="8"/>
      <c r="F1875" s="8"/>
      <c r="G1875" s="8"/>
      <c r="H1875" s="8"/>
      <c r="I1875" s="9"/>
      <c r="J1875" s="9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7"/>
      <c r="B1876" s="8"/>
      <c r="C1876" s="8"/>
      <c r="D1876" s="8"/>
      <c r="E1876" s="8"/>
      <c r="F1876" s="8"/>
      <c r="G1876" s="8"/>
      <c r="H1876" s="8"/>
      <c r="I1876" s="9"/>
      <c r="J1876" s="9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7"/>
      <c r="B1877" s="8"/>
      <c r="C1877" s="8"/>
      <c r="D1877" s="8"/>
      <c r="E1877" s="8"/>
      <c r="F1877" s="8"/>
      <c r="G1877" s="8"/>
      <c r="H1877" s="8"/>
      <c r="I1877" s="9"/>
      <c r="J1877" s="9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7"/>
      <c r="B1878" s="8"/>
      <c r="C1878" s="8"/>
      <c r="D1878" s="8"/>
      <c r="E1878" s="8"/>
      <c r="F1878" s="8"/>
      <c r="G1878" s="8"/>
      <c r="H1878" s="8"/>
      <c r="I1878" s="9"/>
      <c r="J1878" s="9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7"/>
      <c r="B1879" s="8"/>
      <c r="C1879" s="8"/>
      <c r="D1879" s="8"/>
      <c r="E1879" s="8"/>
      <c r="F1879" s="8"/>
      <c r="G1879" s="8"/>
      <c r="H1879" s="8"/>
      <c r="I1879" s="9"/>
      <c r="J1879" s="9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7"/>
      <c r="B1880" s="8"/>
      <c r="C1880" s="8"/>
      <c r="D1880" s="8"/>
      <c r="E1880" s="8"/>
      <c r="F1880" s="8"/>
      <c r="G1880" s="8"/>
      <c r="H1880" s="8"/>
      <c r="I1880" s="9"/>
      <c r="J1880" s="9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7"/>
      <c r="B1881" s="8"/>
      <c r="C1881" s="8"/>
      <c r="D1881" s="8"/>
      <c r="E1881" s="8"/>
      <c r="F1881" s="8"/>
      <c r="G1881" s="8"/>
      <c r="H1881" s="8"/>
      <c r="I1881" s="9"/>
      <c r="J1881" s="9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7"/>
      <c r="B1882" s="8"/>
      <c r="C1882" s="8"/>
      <c r="D1882" s="8"/>
      <c r="E1882" s="8"/>
      <c r="F1882" s="8"/>
      <c r="G1882" s="8"/>
      <c r="H1882" s="8"/>
      <c r="I1882" s="9"/>
      <c r="J1882" s="9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7"/>
      <c r="B1883" s="8"/>
      <c r="C1883" s="8"/>
      <c r="D1883" s="8"/>
      <c r="E1883" s="8"/>
      <c r="F1883" s="8"/>
      <c r="G1883" s="8"/>
      <c r="H1883" s="8"/>
      <c r="I1883" s="9"/>
      <c r="J1883" s="9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7"/>
      <c r="B1884" s="8"/>
      <c r="C1884" s="8"/>
      <c r="D1884" s="8"/>
      <c r="E1884" s="8"/>
      <c r="F1884" s="8"/>
      <c r="G1884" s="8"/>
      <c r="H1884" s="8"/>
      <c r="I1884" s="9"/>
      <c r="J1884" s="9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7"/>
      <c r="B1885" s="8"/>
      <c r="C1885" s="8"/>
      <c r="D1885" s="8"/>
      <c r="E1885" s="8"/>
      <c r="F1885" s="8"/>
      <c r="G1885" s="8"/>
      <c r="H1885" s="8"/>
      <c r="I1885" s="9"/>
      <c r="J1885" s="9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7"/>
      <c r="B1886" s="8"/>
      <c r="C1886" s="8"/>
      <c r="D1886" s="8"/>
      <c r="E1886" s="8"/>
      <c r="F1886" s="8"/>
      <c r="G1886" s="8"/>
      <c r="H1886" s="8"/>
      <c r="I1886" s="9"/>
      <c r="J1886" s="9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7"/>
      <c r="B1887" s="8"/>
      <c r="C1887" s="8"/>
      <c r="D1887" s="8"/>
      <c r="E1887" s="8"/>
      <c r="F1887" s="8"/>
      <c r="G1887" s="8"/>
      <c r="H1887" s="8"/>
      <c r="I1887" s="9"/>
      <c r="J1887" s="9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7"/>
      <c r="B1888" s="8"/>
      <c r="C1888" s="8"/>
      <c r="D1888" s="8"/>
      <c r="E1888" s="8"/>
      <c r="F1888" s="8"/>
      <c r="G1888" s="8"/>
      <c r="H1888" s="8"/>
      <c r="I1888" s="9"/>
      <c r="J1888" s="9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7"/>
      <c r="B1889" s="8"/>
      <c r="C1889" s="8"/>
      <c r="D1889" s="8"/>
      <c r="E1889" s="8"/>
      <c r="F1889" s="8"/>
      <c r="G1889" s="8"/>
      <c r="H1889" s="8"/>
      <c r="I1889" s="9"/>
      <c r="J1889" s="9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7"/>
      <c r="B1890" s="8"/>
      <c r="C1890" s="8"/>
      <c r="D1890" s="8"/>
      <c r="E1890" s="8"/>
      <c r="F1890" s="8"/>
      <c r="G1890" s="8"/>
      <c r="H1890" s="8"/>
      <c r="I1890" s="9"/>
      <c r="J1890" s="9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7"/>
      <c r="B1891" s="8"/>
      <c r="C1891" s="8"/>
      <c r="D1891" s="8"/>
      <c r="E1891" s="8"/>
      <c r="F1891" s="8"/>
      <c r="G1891" s="8"/>
      <c r="H1891" s="8"/>
      <c r="I1891" s="9"/>
      <c r="J1891" s="9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7"/>
      <c r="B1892" s="8"/>
      <c r="C1892" s="8"/>
      <c r="D1892" s="8"/>
      <c r="E1892" s="8"/>
      <c r="F1892" s="8"/>
      <c r="G1892" s="8"/>
      <c r="H1892" s="8"/>
      <c r="I1892" s="9"/>
      <c r="J1892" s="9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7"/>
      <c r="B1893" s="8"/>
      <c r="C1893" s="8"/>
      <c r="D1893" s="8"/>
      <c r="E1893" s="8"/>
      <c r="F1893" s="8"/>
      <c r="G1893" s="8"/>
      <c r="H1893" s="8"/>
      <c r="I1893" s="9"/>
      <c r="J1893" s="9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7"/>
      <c r="B1894" s="8"/>
      <c r="C1894" s="8"/>
      <c r="D1894" s="8"/>
      <c r="E1894" s="8"/>
      <c r="F1894" s="8"/>
      <c r="G1894" s="8"/>
      <c r="H1894" s="8"/>
      <c r="I1894" s="9"/>
      <c r="J1894" s="9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7"/>
      <c r="B1895" s="8"/>
      <c r="C1895" s="8"/>
      <c r="D1895" s="8"/>
      <c r="E1895" s="8"/>
      <c r="F1895" s="8"/>
      <c r="G1895" s="8"/>
      <c r="H1895" s="8"/>
      <c r="I1895" s="9"/>
      <c r="J1895" s="9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7"/>
      <c r="B1896" s="8"/>
      <c r="C1896" s="8"/>
      <c r="D1896" s="8"/>
      <c r="E1896" s="8"/>
      <c r="F1896" s="8"/>
      <c r="G1896" s="8"/>
      <c r="H1896" s="8"/>
      <c r="I1896" s="9"/>
      <c r="J1896" s="9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7"/>
      <c r="B1897" s="8"/>
      <c r="C1897" s="8"/>
      <c r="D1897" s="8"/>
      <c r="E1897" s="8"/>
      <c r="F1897" s="8"/>
      <c r="G1897" s="8"/>
      <c r="H1897" s="8"/>
      <c r="I1897" s="9"/>
      <c r="J1897" s="9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7"/>
      <c r="B1898" s="8"/>
      <c r="C1898" s="8"/>
      <c r="D1898" s="8"/>
      <c r="E1898" s="8"/>
      <c r="F1898" s="8"/>
      <c r="G1898" s="8"/>
      <c r="H1898" s="8"/>
      <c r="I1898" s="9"/>
      <c r="J1898" s="9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7"/>
      <c r="B1899" s="8"/>
      <c r="C1899" s="8"/>
      <c r="D1899" s="8"/>
      <c r="E1899" s="8"/>
      <c r="F1899" s="8"/>
      <c r="G1899" s="8"/>
      <c r="H1899" s="8"/>
      <c r="I1899" s="9"/>
      <c r="J1899" s="9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7"/>
      <c r="B1900" s="8"/>
      <c r="C1900" s="8"/>
      <c r="D1900" s="8"/>
      <c r="E1900" s="8"/>
      <c r="F1900" s="8"/>
      <c r="G1900" s="8"/>
      <c r="H1900" s="8"/>
      <c r="I1900" s="9"/>
      <c r="J1900" s="9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7"/>
      <c r="B1901" s="8"/>
      <c r="C1901" s="8"/>
      <c r="D1901" s="8"/>
      <c r="E1901" s="8"/>
      <c r="F1901" s="8"/>
      <c r="G1901" s="8"/>
      <c r="H1901" s="8"/>
      <c r="I1901" s="9"/>
      <c r="J1901" s="9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7"/>
      <c r="B1902" s="8"/>
      <c r="C1902" s="8"/>
      <c r="D1902" s="8"/>
      <c r="E1902" s="8"/>
      <c r="F1902" s="8"/>
      <c r="G1902" s="8"/>
      <c r="H1902" s="8"/>
      <c r="I1902" s="9"/>
      <c r="J1902" s="9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7"/>
      <c r="B1903" s="8"/>
      <c r="C1903" s="8"/>
      <c r="D1903" s="8"/>
      <c r="E1903" s="8"/>
      <c r="F1903" s="8"/>
      <c r="G1903" s="8"/>
      <c r="H1903" s="8"/>
      <c r="I1903" s="9"/>
      <c r="J1903" s="9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7"/>
      <c r="B1904" s="8"/>
      <c r="C1904" s="8"/>
      <c r="D1904" s="8"/>
      <c r="E1904" s="8"/>
      <c r="F1904" s="8"/>
      <c r="G1904" s="8"/>
      <c r="H1904" s="8"/>
      <c r="I1904" s="9"/>
      <c r="J1904" s="9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7"/>
      <c r="B1905" s="8"/>
      <c r="C1905" s="8"/>
      <c r="D1905" s="8"/>
      <c r="E1905" s="8"/>
      <c r="F1905" s="8"/>
      <c r="G1905" s="8"/>
      <c r="H1905" s="8"/>
      <c r="I1905" s="9"/>
      <c r="J1905" s="9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7"/>
      <c r="B1906" s="8"/>
      <c r="C1906" s="8"/>
      <c r="D1906" s="8"/>
      <c r="E1906" s="8"/>
      <c r="F1906" s="8"/>
      <c r="G1906" s="8"/>
      <c r="H1906" s="8"/>
      <c r="I1906" s="9"/>
      <c r="J1906" s="9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7"/>
      <c r="B1907" s="8"/>
      <c r="C1907" s="8"/>
      <c r="D1907" s="8"/>
      <c r="E1907" s="8"/>
      <c r="F1907" s="8"/>
      <c r="G1907" s="8"/>
      <c r="H1907" s="8"/>
      <c r="I1907" s="9"/>
      <c r="J1907" s="9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7"/>
      <c r="B1908" s="8"/>
      <c r="C1908" s="8"/>
      <c r="D1908" s="8"/>
      <c r="E1908" s="8"/>
      <c r="F1908" s="8"/>
      <c r="G1908" s="8"/>
      <c r="H1908" s="8"/>
      <c r="I1908" s="9"/>
      <c r="J1908" s="9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7"/>
      <c r="B1909" s="8"/>
      <c r="C1909" s="8"/>
      <c r="D1909" s="8"/>
      <c r="E1909" s="8"/>
      <c r="F1909" s="8"/>
      <c r="G1909" s="8"/>
      <c r="H1909" s="8"/>
      <c r="I1909" s="9"/>
      <c r="J1909" s="9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7"/>
      <c r="B1910" s="8"/>
      <c r="C1910" s="8"/>
      <c r="D1910" s="8"/>
      <c r="E1910" s="8"/>
      <c r="F1910" s="8"/>
      <c r="G1910" s="8"/>
      <c r="H1910" s="8"/>
      <c r="I1910" s="9"/>
      <c r="J1910" s="9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7"/>
      <c r="B1911" s="8"/>
      <c r="C1911" s="8"/>
      <c r="D1911" s="8"/>
      <c r="E1911" s="8"/>
      <c r="F1911" s="8"/>
      <c r="G1911" s="8"/>
      <c r="H1911" s="8"/>
      <c r="I1911" s="9"/>
      <c r="J1911" s="9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7"/>
      <c r="B1912" s="8"/>
      <c r="C1912" s="8"/>
      <c r="D1912" s="8"/>
      <c r="E1912" s="8"/>
      <c r="F1912" s="8"/>
      <c r="G1912" s="8"/>
      <c r="H1912" s="8"/>
      <c r="I1912" s="9"/>
      <c r="J1912" s="9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7"/>
      <c r="B1913" s="8"/>
      <c r="C1913" s="8"/>
      <c r="D1913" s="8"/>
      <c r="E1913" s="8"/>
      <c r="F1913" s="8"/>
      <c r="G1913" s="8"/>
      <c r="H1913" s="8"/>
      <c r="I1913" s="9"/>
      <c r="J1913" s="9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7"/>
      <c r="B1914" s="8"/>
      <c r="C1914" s="8"/>
      <c r="D1914" s="8"/>
      <c r="E1914" s="8"/>
      <c r="F1914" s="8"/>
      <c r="G1914" s="8"/>
      <c r="H1914" s="8"/>
      <c r="I1914" s="9"/>
      <c r="J1914" s="9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7"/>
      <c r="B1915" s="8"/>
      <c r="C1915" s="8"/>
      <c r="D1915" s="8"/>
      <c r="E1915" s="8"/>
      <c r="F1915" s="8"/>
      <c r="G1915" s="8"/>
      <c r="H1915" s="8"/>
      <c r="I1915" s="9"/>
      <c r="J1915" s="9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7"/>
      <c r="B1916" s="8"/>
      <c r="C1916" s="8"/>
      <c r="D1916" s="8"/>
      <c r="E1916" s="8"/>
      <c r="F1916" s="8"/>
      <c r="G1916" s="8"/>
      <c r="H1916" s="8"/>
      <c r="I1916" s="9"/>
      <c r="J1916" s="9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7"/>
      <c r="B1917" s="8"/>
      <c r="C1917" s="8"/>
      <c r="D1917" s="8"/>
      <c r="E1917" s="8"/>
      <c r="F1917" s="8"/>
      <c r="G1917" s="8"/>
      <c r="H1917" s="8"/>
      <c r="I1917" s="9"/>
      <c r="J1917" s="9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7"/>
      <c r="B1918" s="8"/>
      <c r="C1918" s="8"/>
      <c r="D1918" s="8"/>
      <c r="E1918" s="8"/>
      <c r="F1918" s="8"/>
      <c r="G1918" s="8"/>
      <c r="H1918" s="8"/>
      <c r="I1918" s="9"/>
      <c r="J1918" s="9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7"/>
      <c r="B1919" s="8"/>
      <c r="C1919" s="8"/>
      <c r="D1919" s="8"/>
      <c r="E1919" s="8"/>
      <c r="F1919" s="8"/>
      <c r="G1919" s="8"/>
      <c r="H1919" s="8"/>
      <c r="I1919" s="9"/>
      <c r="J1919" s="9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7"/>
      <c r="B1920" s="8"/>
      <c r="C1920" s="8"/>
      <c r="D1920" s="8"/>
      <c r="E1920" s="8"/>
      <c r="F1920" s="8"/>
      <c r="G1920" s="8"/>
      <c r="H1920" s="8"/>
      <c r="I1920" s="9"/>
      <c r="J1920" s="9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7"/>
      <c r="B1921" s="8"/>
      <c r="C1921" s="8"/>
      <c r="D1921" s="8"/>
      <c r="E1921" s="8"/>
      <c r="F1921" s="8"/>
      <c r="G1921" s="8"/>
      <c r="H1921" s="8"/>
      <c r="I1921" s="9"/>
      <c r="J1921" s="9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7"/>
      <c r="B1922" s="8"/>
      <c r="C1922" s="8"/>
      <c r="D1922" s="8"/>
      <c r="E1922" s="8"/>
      <c r="F1922" s="8"/>
      <c r="G1922" s="8"/>
      <c r="H1922" s="8"/>
      <c r="I1922" s="9"/>
      <c r="J1922" s="9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7"/>
      <c r="B1923" s="8"/>
      <c r="C1923" s="8"/>
      <c r="D1923" s="8"/>
      <c r="E1923" s="8"/>
      <c r="F1923" s="8"/>
      <c r="G1923" s="8"/>
      <c r="H1923" s="8"/>
      <c r="I1923" s="9"/>
      <c r="J1923" s="9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7"/>
      <c r="B1924" s="8"/>
      <c r="C1924" s="8"/>
      <c r="D1924" s="8"/>
      <c r="E1924" s="8"/>
      <c r="F1924" s="8"/>
      <c r="G1924" s="8"/>
      <c r="H1924" s="8"/>
      <c r="I1924" s="9"/>
      <c r="J1924" s="9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7"/>
      <c r="B1925" s="8"/>
      <c r="C1925" s="8"/>
      <c r="D1925" s="8"/>
      <c r="E1925" s="8"/>
      <c r="F1925" s="8"/>
      <c r="G1925" s="8"/>
      <c r="H1925" s="8"/>
      <c r="I1925" s="9"/>
      <c r="J1925" s="9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7"/>
      <c r="B1926" s="8"/>
      <c r="C1926" s="8"/>
      <c r="D1926" s="8"/>
      <c r="E1926" s="8"/>
      <c r="F1926" s="8"/>
      <c r="G1926" s="8"/>
      <c r="H1926" s="8"/>
      <c r="I1926" s="9"/>
      <c r="J1926" s="9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7"/>
      <c r="B1927" s="8"/>
      <c r="C1927" s="8"/>
      <c r="D1927" s="8"/>
      <c r="E1927" s="8"/>
      <c r="F1927" s="8"/>
      <c r="G1927" s="8"/>
      <c r="H1927" s="8"/>
      <c r="I1927" s="9"/>
      <c r="J1927" s="9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7"/>
      <c r="B1928" s="8"/>
      <c r="C1928" s="8"/>
      <c r="D1928" s="8"/>
      <c r="E1928" s="8"/>
      <c r="F1928" s="8"/>
      <c r="G1928" s="8"/>
      <c r="H1928" s="8"/>
      <c r="I1928" s="9"/>
      <c r="J1928" s="9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7"/>
      <c r="B1929" s="8"/>
      <c r="C1929" s="8"/>
      <c r="D1929" s="8"/>
      <c r="E1929" s="8"/>
      <c r="F1929" s="8"/>
      <c r="G1929" s="8"/>
      <c r="H1929" s="8"/>
      <c r="I1929" s="9"/>
      <c r="J1929" s="9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7"/>
      <c r="B1930" s="8"/>
      <c r="C1930" s="8"/>
      <c r="D1930" s="8"/>
      <c r="E1930" s="8"/>
      <c r="F1930" s="8"/>
      <c r="G1930" s="8"/>
      <c r="H1930" s="8"/>
      <c r="I1930" s="9"/>
      <c r="J1930" s="9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7"/>
      <c r="B1931" s="8"/>
      <c r="C1931" s="8"/>
      <c r="D1931" s="8"/>
      <c r="E1931" s="8"/>
      <c r="F1931" s="8"/>
      <c r="G1931" s="8"/>
      <c r="H1931" s="8"/>
      <c r="I1931" s="9"/>
      <c r="J1931" s="9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7"/>
      <c r="B1932" s="8"/>
      <c r="C1932" s="8"/>
      <c r="D1932" s="8"/>
      <c r="E1932" s="8"/>
      <c r="F1932" s="8"/>
      <c r="G1932" s="8"/>
      <c r="H1932" s="8"/>
      <c r="I1932" s="9"/>
      <c r="J1932" s="9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7"/>
      <c r="B1933" s="8"/>
      <c r="C1933" s="8"/>
      <c r="D1933" s="8"/>
      <c r="E1933" s="8"/>
      <c r="F1933" s="8"/>
      <c r="G1933" s="8"/>
      <c r="H1933" s="8"/>
      <c r="I1933" s="9"/>
      <c r="J1933" s="9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7"/>
      <c r="B1934" s="8"/>
      <c r="C1934" s="8"/>
      <c r="D1934" s="8"/>
      <c r="E1934" s="8"/>
      <c r="F1934" s="8"/>
      <c r="G1934" s="8"/>
      <c r="H1934" s="8"/>
      <c r="I1934" s="9"/>
      <c r="J1934" s="9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7"/>
      <c r="B1935" s="8"/>
      <c r="C1935" s="8"/>
      <c r="D1935" s="8"/>
      <c r="E1935" s="8"/>
      <c r="F1935" s="8"/>
      <c r="G1935" s="8"/>
      <c r="H1935" s="8"/>
      <c r="I1935" s="9"/>
      <c r="J1935" s="9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7"/>
      <c r="B1936" s="8"/>
      <c r="C1936" s="8"/>
      <c r="D1936" s="8"/>
      <c r="E1936" s="8"/>
      <c r="F1936" s="8"/>
      <c r="G1936" s="8"/>
      <c r="H1936" s="8"/>
      <c r="I1936" s="9"/>
      <c r="J1936" s="9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7"/>
      <c r="B1937" s="8"/>
      <c r="C1937" s="8"/>
      <c r="D1937" s="8"/>
      <c r="E1937" s="8"/>
      <c r="F1937" s="8"/>
      <c r="G1937" s="8"/>
      <c r="H1937" s="8"/>
      <c r="I1937" s="9"/>
      <c r="J1937" s="9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7"/>
      <c r="B1938" s="8"/>
      <c r="C1938" s="8"/>
      <c r="D1938" s="8"/>
      <c r="E1938" s="8"/>
      <c r="F1938" s="8"/>
      <c r="G1938" s="8"/>
      <c r="H1938" s="8"/>
      <c r="I1938" s="9"/>
      <c r="J1938" s="9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7"/>
      <c r="B1939" s="8"/>
      <c r="C1939" s="8"/>
      <c r="D1939" s="8"/>
      <c r="E1939" s="8"/>
      <c r="F1939" s="8"/>
      <c r="G1939" s="8"/>
      <c r="H1939" s="8"/>
      <c r="I1939" s="9"/>
      <c r="J1939" s="9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7"/>
      <c r="B1940" s="8"/>
      <c r="C1940" s="8"/>
      <c r="D1940" s="8"/>
      <c r="E1940" s="8"/>
      <c r="F1940" s="8"/>
      <c r="G1940" s="8"/>
      <c r="H1940" s="8"/>
      <c r="I1940" s="9"/>
      <c r="J1940" s="9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7"/>
      <c r="B1941" s="8"/>
      <c r="C1941" s="8"/>
      <c r="D1941" s="8"/>
      <c r="E1941" s="8"/>
      <c r="F1941" s="8"/>
      <c r="G1941" s="8"/>
      <c r="H1941" s="8"/>
      <c r="I1941" s="9"/>
      <c r="J1941" s="9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7"/>
      <c r="B1942" s="8"/>
      <c r="C1942" s="8"/>
      <c r="D1942" s="8"/>
      <c r="E1942" s="8"/>
      <c r="F1942" s="8"/>
      <c r="G1942" s="8"/>
      <c r="H1942" s="8"/>
      <c r="I1942" s="9"/>
      <c r="J1942" s="9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7"/>
      <c r="B1943" s="8"/>
      <c r="C1943" s="8"/>
      <c r="D1943" s="8"/>
      <c r="E1943" s="8"/>
      <c r="F1943" s="8"/>
      <c r="G1943" s="8"/>
      <c r="H1943" s="8"/>
      <c r="I1943" s="9"/>
      <c r="J1943" s="9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7"/>
      <c r="B1944" s="8"/>
      <c r="C1944" s="8"/>
      <c r="D1944" s="8"/>
      <c r="E1944" s="8"/>
      <c r="F1944" s="8"/>
      <c r="G1944" s="8"/>
      <c r="H1944" s="8"/>
      <c r="I1944" s="9"/>
      <c r="J1944" s="9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7"/>
      <c r="B1945" s="8"/>
      <c r="C1945" s="8"/>
      <c r="D1945" s="8"/>
      <c r="E1945" s="8"/>
      <c r="F1945" s="8"/>
      <c r="G1945" s="8"/>
      <c r="H1945" s="8"/>
      <c r="I1945" s="9"/>
      <c r="J1945" s="9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7"/>
      <c r="B1946" s="8"/>
      <c r="C1946" s="8"/>
      <c r="D1946" s="8"/>
      <c r="E1946" s="8"/>
      <c r="F1946" s="8"/>
      <c r="G1946" s="8"/>
      <c r="H1946" s="8"/>
      <c r="I1946" s="9"/>
      <c r="J1946" s="9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7"/>
      <c r="B1947" s="8"/>
      <c r="C1947" s="8"/>
      <c r="D1947" s="8"/>
      <c r="E1947" s="8"/>
      <c r="F1947" s="8"/>
      <c r="G1947" s="8"/>
      <c r="H1947" s="8"/>
      <c r="I1947" s="9"/>
      <c r="J1947" s="9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7"/>
      <c r="B1948" s="8"/>
      <c r="C1948" s="8"/>
      <c r="D1948" s="8"/>
      <c r="E1948" s="8"/>
      <c r="F1948" s="8"/>
      <c r="G1948" s="8"/>
      <c r="H1948" s="8"/>
      <c r="I1948" s="9"/>
      <c r="J1948" s="9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7"/>
      <c r="B1949" s="8"/>
      <c r="C1949" s="8"/>
      <c r="D1949" s="8"/>
      <c r="E1949" s="8"/>
      <c r="F1949" s="8"/>
      <c r="G1949" s="8"/>
      <c r="H1949" s="8"/>
      <c r="I1949" s="9"/>
      <c r="J1949" s="9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7"/>
      <c r="B1950" s="8"/>
      <c r="C1950" s="8"/>
      <c r="D1950" s="8"/>
      <c r="E1950" s="8"/>
      <c r="F1950" s="8"/>
      <c r="G1950" s="8"/>
      <c r="H1950" s="8"/>
      <c r="I1950" s="9"/>
      <c r="J1950" s="9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7"/>
      <c r="B1951" s="8"/>
      <c r="C1951" s="8"/>
      <c r="D1951" s="8"/>
      <c r="E1951" s="8"/>
      <c r="F1951" s="8"/>
      <c r="G1951" s="8"/>
      <c r="H1951" s="8"/>
      <c r="I1951" s="9"/>
      <c r="J1951" s="9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7"/>
      <c r="B1952" s="8"/>
      <c r="C1952" s="8"/>
      <c r="D1952" s="8"/>
      <c r="E1952" s="8"/>
      <c r="F1952" s="8"/>
      <c r="G1952" s="8"/>
      <c r="H1952" s="8"/>
      <c r="I1952" s="9"/>
      <c r="J1952" s="9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7"/>
      <c r="B1953" s="8"/>
      <c r="C1953" s="8"/>
      <c r="D1953" s="8"/>
      <c r="E1953" s="8"/>
      <c r="F1953" s="8"/>
      <c r="G1953" s="8"/>
      <c r="H1953" s="8"/>
      <c r="I1953" s="9"/>
      <c r="J1953" s="9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7"/>
      <c r="B1954" s="8"/>
      <c r="C1954" s="8"/>
      <c r="D1954" s="8"/>
      <c r="E1954" s="8"/>
      <c r="F1954" s="8"/>
      <c r="G1954" s="8"/>
      <c r="H1954" s="8"/>
      <c r="I1954" s="9"/>
      <c r="J1954" s="9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7"/>
      <c r="B1955" s="8"/>
      <c r="C1955" s="8"/>
      <c r="D1955" s="8"/>
      <c r="E1955" s="8"/>
      <c r="F1955" s="8"/>
      <c r="G1955" s="8"/>
      <c r="H1955" s="8"/>
      <c r="I1955" s="9"/>
      <c r="J1955" s="9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7"/>
      <c r="B1956" s="8"/>
      <c r="C1956" s="8"/>
      <c r="D1956" s="8"/>
      <c r="E1956" s="8"/>
      <c r="F1956" s="8"/>
      <c r="G1956" s="8"/>
      <c r="H1956" s="8"/>
      <c r="I1956" s="9"/>
      <c r="J1956" s="9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7"/>
      <c r="B1957" s="8"/>
      <c r="C1957" s="8"/>
      <c r="D1957" s="8"/>
      <c r="E1957" s="8"/>
      <c r="F1957" s="8"/>
      <c r="G1957" s="8"/>
      <c r="H1957" s="8"/>
      <c r="I1957" s="9"/>
      <c r="J1957" s="9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7"/>
      <c r="B1958" s="8"/>
      <c r="C1958" s="8"/>
      <c r="D1958" s="8"/>
      <c r="E1958" s="8"/>
      <c r="F1958" s="8"/>
      <c r="G1958" s="8"/>
      <c r="H1958" s="8"/>
      <c r="I1958" s="9"/>
      <c r="J1958" s="9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7"/>
      <c r="B1959" s="8"/>
      <c r="C1959" s="8"/>
      <c r="D1959" s="8"/>
      <c r="E1959" s="8"/>
      <c r="F1959" s="8"/>
      <c r="G1959" s="8"/>
      <c r="H1959" s="8"/>
      <c r="I1959" s="9"/>
      <c r="J1959" s="9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7"/>
      <c r="B1960" s="8"/>
      <c r="C1960" s="8"/>
      <c r="D1960" s="8"/>
      <c r="E1960" s="8"/>
      <c r="F1960" s="8"/>
      <c r="G1960" s="8"/>
      <c r="H1960" s="8"/>
      <c r="I1960" s="9"/>
      <c r="J1960" s="9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7"/>
      <c r="B1961" s="8"/>
      <c r="C1961" s="8"/>
      <c r="D1961" s="8"/>
      <c r="E1961" s="8"/>
      <c r="F1961" s="8"/>
      <c r="G1961" s="8"/>
      <c r="H1961" s="8"/>
      <c r="I1961" s="9"/>
      <c r="J1961" s="9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7"/>
      <c r="B1962" s="8"/>
      <c r="C1962" s="8"/>
      <c r="D1962" s="8"/>
      <c r="E1962" s="8"/>
      <c r="F1962" s="8"/>
      <c r="G1962" s="8"/>
      <c r="H1962" s="8"/>
      <c r="I1962" s="9"/>
      <c r="J1962" s="9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7"/>
      <c r="B1963" s="8"/>
      <c r="C1963" s="8"/>
      <c r="D1963" s="8"/>
      <c r="E1963" s="8"/>
      <c r="F1963" s="8"/>
      <c r="G1963" s="8"/>
      <c r="H1963" s="8"/>
      <c r="I1963" s="9"/>
      <c r="J1963" s="9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7"/>
      <c r="B1964" s="8"/>
      <c r="C1964" s="8"/>
      <c r="D1964" s="8"/>
      <c r="E1964" s="8"/>
      <c r="F1964" s="8"/>
      <c r="G1964" s="8"/>
      <c r="H1964" s="8"/>
      <c r="I1964" s="9"/>
      <c r="J1964" s="9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7"/>
      <c r="B1965" s="8"/>
      <c r="C1965" s="8"/>
      <c r="D1965" s="8"/>
      <c r="E1965" s="8"/>
      <c r="F1965" s="8"/>
      <c r="G1965" s="8"/>
      <c r="H1965" s="8"/>
      <c r="I1965" s="9"/>
      <c r="J1965" s="9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7"/>
      <c r="B1966" s="8"/>
      <c r="C1966" s="8"/>
      <c r="D1966" s="8"/>
      <c r="E1966" s="8"/>
      <c r="F1966" s="8"/>
      <c r="G1966" s="8"/>
      <c r="H1966" s="8"/>
      <c r="I1966" s="9"/>
      <c r="J1966" s="9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7"/>
      <c r="B1967" s="8"/>
      <c r="C1967" s="8"/>
      <c r="D1967" s="8"/>
      <c r="E1967" s="8"/>
      <c r="F1967" s="8"/>
      <c r="G1967" s="8"/>
      <c r="H1967" s="8"/>
      <c r="I1967" s="9"/>
      <c r="J1967" s="9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7"/>
      <c r="B1968" s="8"/>
      <c r="C1968" s="8"/>
      <c r="D1968" s="8"/>
      <c r="E1968" s="8"/>
      <c r="F1968" s="8"/>
      <c r="G1968" s="8"/>
      <c r="H1968" s="8"/>
      <c r="I1968" s="9"/>
      <c r="J1968" s="9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7"/>
      <c r="B1969" s="8"/>
      <c r="C1969" s="8"/>
      <c r="D1969" s="8"/>
      <c r="E1969" s="8"/>
      <c r="F1969" s="8"/>
      <c r="G1969" s="8"/>
      <c r="H1969" s="8"/>
      <c r="I1969" s="9"/>
      <c r="J1969" s="9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7"/>
      <c r="B1970" s="8"/>
      <c r="C1970" s="8"/>
      <c r="D1970" s="8"/>
      <c r="E1970" s="8"/>
      <c r="F1970" s="8"/>
      <c r="G1970" s="8"/>
      <c r="H1970" s="8"/>
      <c r="I1970" s="9"/>
      <c r="J1970" s="9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7"/>
      <c r="B1971" s="8"/>
      <c r="C1971" s="8"/>
      <c r="D1971" s="8"/>
      <c r="E1971" s="8"/>
      <c r="F1971" s="8"/>
      <c r="G1971" s="8"/>
      <c r="H1971" s="8"/>
      <c r="I1971" s="9"/>
      <c r="J1971" s="9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7"/>
      <c r="B1972" s="8"/>
      <c r="C1972" s="8"/>
      <c r="D1972" s="8"/>
      <c r="E1972" s="8"/>
      <c r="F1972" s="8"/>
      <c r="G1972" s="8"/>
      <c r="H1972" s="8"/>
      <c r="I1972" s="9"/>
      <c r="J1972" s="9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7"/>
      <c r="B1973" s="8"/>
      <c r="C1973" s="8"/>
      <c r="D1973" s="8"/>
      <c r="E1973" s="8"/>
      <c r="F1973" s="8"/>
      <c r="G1973" s="8"/>
      <c r="H1973" s="8"/>
      <c r="I1973" s="9"/>
      <c r="J1973" s="9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7"/>
      <c r="B1974" s="8"/>
      <c r="C1974" s="8"/>
      <c r="D1974" s="8"/>
      <c r="E1974" s="8"/>
      <c r="F1974" s="8"/>
      <c r="G1974" s="8"/>
      <c r="H1974" s="8"/>
      <c r="I1974" s="9"/>
      <c r="J1974" s="9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7"/>
      <c r="B1975" s="8"/>
      <c r="C1975" s="8"/>
      <c r="D1975" s="8"/>
      <c r="E1975" s="8"/>
      <c r="F1975" s="8"/>
      <c r="G1975" s="8"/>
      <c r="H1975" s="8"/>
      <c r="I1975" s="9"/>
      <c r="J1975" s="9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7"/>
      <c r="B1976" s="8"/>
      <c r="C1976" s="8"/>
      <c r="D1976" s="8"/>
      <c r="E1976" s="8"/>
      <c r="F1976" s="8"/>
      <c r="G1976" s="8"/>
      <c r="H1976" s="8"/>
      <c r="I1976" s="9"/>
      <c r="J1976" s="9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7"/>
      <c r="B1977" s="8"/>
      <c r="C1977" s="8"/>
      <c r="D1977" s="8"/>
      <c r="E1977" s="8"/>
      <c r="F1977" s="8"/>
      <c r="G1977" s="8"/>
      <c r="H1977" s="8"/>
      <c r="I1977" s="9"/>
      <c r="J1977" s="9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7"/>
      <c r="B1978" s="8"/>
      <c r="C1978" s="8"/>
      <c r="D1978" s="8"/>
      <c r="E1978" s="8"/>
      <c r="F1978" s="8"/>
      <c r="G1978" s="8"/>
      <c r="H1978" s="8"/>
      <c r="I1978" s="9"/>
      <c r="J1978" s="9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7"/>
      <c r="B1979" s="8"/>
      <c r="C1979" s="8"/>
      <c r="D1979" s="8"/>
      <c r="E1979" s="8"/>
      <c r="F1979" s="8"/>
      <c r="G1979" s="8"/>
      <c r="H1979" s="8"/>
      <c r="I1979" s="9"/>
      <c r="J1979" s="9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7"/>
      <c r="B1980" s="8"/>
      <c r="C1980" s="8"/>
      <c r="D1980" s="8"/>
      <c r="E1980" s="8"/>
      <c r="F1980" s="8"/>
      <c r="G1980" s="8"/>
      <c r="H1980" s="8"/>
      <c r="I1980" s="9"/>
      <c r="J1980" s="9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7"/>
      <c r="B1981" s="8"/>
      <c r="C1981" s="8"/>
      <c r="D1981" s="8"/>
      <c r="E1981" s="8"/>
      <c r="F1981" s="8"/>
      <c r="G1981" s="8"/>
      <c r="H1981" s="8"/>
      <c r="I1981" s="9"/>
      <c r="J1981" s="9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7"/>
      <c r="B1982" s="8"/>
      <c r="C1982" s="8"/>
      <c r="D1982" s="8"/>
      <c r="E1982" s="8"/>
      <c r="F1982" s="8"/>
      <c r="G1982" s="8"/>
      <c r="H1982" s="8"/>
      <c r="I1982" s="9"/>
      <c r="J1982" s="9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7"/>
      <c r="B1983" s="8"/>
      <c r="C1983" s="8"/>
      <c r="D1983" s="8"/>
      <c r="E1983" s="8"/>
      <c r="F1983" s="8"/>
      <c r="G1983" s="8"/>
      <c r="H1983" s="8"/>
      <c r="I1983" s="9"/>
      <c r="J1983" s="9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7"/>
      <c r="B1984" s="8"/>
      <c r="C1984" s="8"/>
      <c r="D1984" s="8"/>
      <c r="E1984" s="8"/>
      <c r="F1984" s="8"/>
      <c r="G1984" s="8"/>
      <c r="H1984" s="8"/>
      <c r="I1984" s="9"/>
      <c r="J1984" s="9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7"/>
      <c r="B1985" s="8"/>
      <c r="C1985" s="8"/>
      <c r="D1985" s="8"/>
      <c r="E1985" s="8"/>
      <c r="F1985" s="8"/>
      <c r="G1985" s="8"/>
      <c r="H1985" s="8"/>
      <c r="I1985" s="9"/>
      <c r="J1985" s="9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7"/>
      <c r="B1986" s="8"/>
      <c r="C1986" s="8"/>
      <c r="D1986" s="8"/>
      <c r="E1986" s="8"/>
      <c r="F1986" s="8"/>
      <c r="G1986" s="8"/>
      <c r="H1986" s="8"/>
      <c r="I1986" s="9"/>
      <c r="J1986" s="9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7"/>
      <c r="B1987" s="8"/>
      <c r="C1987" s="8"/>
      <c r="D1987" s="8"/>
      <c r="E1987" s="8"/>
      <c r="F1987" s="8"/>
      <c r="G1987" s="8"/>
      <c r="H1987" s="8"/>
      <c r="I1987" s="9"/>
      <c r="J1987" s="9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7"/>
      <c r="B1988" s="8"/>
      <c r="C1988" s="8"/>
      <c r="D1988" s="8"/>
      <c r="E1988" s="8"/>
      <c r="F1988" s="8"/>
      <c r="G1988" s="8"/>
      <c r="H1988" s="8"/>
      <c r="I1988" s="9"/>
      <c r="J1988" s="9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7"/>
      <c r="B1989" s="8"/>
      <c r="C1989" s="8"/>
      <c r="D1989" s="8"/>
      <c r="E1989" s="8"/>
      <c r="F1989" s="8"/>
      <c r="G1989" s="8"/>
      <c r="H1989" s="8"/>
      <c r="I1989" s="9"/>
      <c r="J1989" s="9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7"/>
      <c r="B1990" s="8"/>
      <c r="C1990" s="8"/>
      <c r="D1990" s="8"/>
      <c r="E1990" s="8"/>
      <c r="F1990" s="8"/>
      <c r="G1990" s="8"/>
      <c r="H1990" s="8"/>
      <c r="I1990" s="9"/>
      <c r="J1990" s="9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7"/>
      <c r="B1991" s="8"/>
      <c r="C1991" s="8"/>
      <c r="D1991" s="8"/>
      <c r="E1991" s="8"/>
      <c r="F1991" s="8"/>
      <c r="G1991" s="8"/>
      <c r="H1991" s="8"/>
      <c r="I1991" s="9"/>
      <c r="J1991" s="9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7"/>
      <c r="B1992" s="8"/>
      <c r="C1992" s="8"/>
      <c r="D1992" s="8"/>
      <c r="E1992" s="8"/>
      <c r="F1992" s="8"/>
      <c r="G1992" s="8"/>
      <c r="H1992" s="8"/>
      <c r="I1992" s="9"/>
      <c r="J1992" s="9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7"/>
      <c r="B1993" s="8"/>
      <c r="C1993" s="8"/>
      <c r="D1993" s="8"/>
      <c r="E1993" s="8"/>
      <c r="F1993" s="8"/>
      <c r="G1993" s="8"/>
      <c r="H1993" s="8"/>
      <c r="I1993" s="9"/>
      <c r="J1993" s="9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7"/>
      <c r="B1994" s="8"/>
      <c r="C1994" s="8"/>
      <c r="D1994" s="8"/>
      <c r="E1994" s="8"/>
      <c r="F1994" s="8"/>
      <c r="G1994" s="8"/>
      <c r="H1994" s="8"/>
      <c r="I1994" s="9"/>
      <c r="J1994" s="9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7"/>
      <c r="B1995" s="8"/>
      <c r="C1995" s="8"/>
      <c r="D1995" s="8"/>
      <c r="E1995" s="8"/>
      <c r="F1995" s="8"/>
      <c r="G1995" s="8"/>
      <c r="H1995" s="8"/>
      <c r="I1995" s="9"/>
      <c r="J1995" s="9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7"/>
      <c r="B1996" s="8"/>
      <c r="C1996" s="8"/>
      <c r="D1996" s="8"/>
      <c r="E1996" s="8"/>
      <c r="F1996" s="8"/>
      <c r="G1996" s="8"/>
      <c r="H1996" s="8"/>
      <c r="I1996" s="9"/>
      <c r="J1996" s="9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7"/>
      <c r="B1997" s="8"/>
      <c r="C1997" s="8"/>
      <c r="D1997" s="8"/>
      <c r="E1997" s="8"/>
      <c r="F1997" s="8"/>
      <c r="G1997" s="8"/>
      <c r="H1997" s="8"/>
      <c r="I1997" s="9"/>
      <c r="J1997" s="9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7"/>
      <c r="B1998" s="8"/>
      <c r="C1998" s="8"/>
      <c r="D1998" s="8"/>
      <c r="E1998" s="8"/>
      <c r="F1998" s="8"/>
      <c r="G1998" s="8"/>
      <c r="H1998" s="8"/>
      <c r="I1998" s="9"/>
      <c r="J1998" s="9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7"/>
      <c r="B1999" s="8"/>
      <c r="C1999" s="8"/>
      <c r="D1999" s="8"/>
      <c r="E1999" s="8"/>
      <c r="F1999" s="8"/>
      <c r="G1999" s="8"/>
      <c r="H1999" s="8"/>
      <c r="I1999" s="9"/>
      <c r="J1999" s="9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7"/>
      <c r="B2000" s="8"/>
      <c r="C2000" s="8"/>
      <c r="D2000" s="8"/>
      <c r="E2000" s="8"/>
      <c r="F2000" s="8"/>
      <c r="G2000" s="8"/>
      <c r="H2000" s="8"/>
      <c r="I2000" s="9"/>
      <c r="J2000" s="9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7"/>
      <c r="B2001" s="8"/>
      <c r="C2001" s="8"/>
      <c r="D2001" s="8"/>
      <c r="E2001" s="8"/>
      <c r="F2001" s="8"/>
      <c r="G2001" s="8"/>
      <c r="H2001" s="8"/>
      <c r="I2001" s="9"/>
      <c r="J2001" s="9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7"/>
      <c r="B2002" s="8"/>
      <c r="C2002" s="8"/>
      <c r="D2002" s="8"/>
      <c r="E2002" s="8"/>
      <c r="F2002" s="8"/>
      <c r="G2002" s="8"/>
      <c r="H2002" s="8"/>
      <c r="I2002" s="9"/>
      <c r="J2002" s="9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7"/>
      <c r="B2003" s="8"/>
      <c r="C2003" s="8"/>
      <c r="D2003" s="8"/>
      <c r="E2003" s="8"/>
      <c r="F2003" s="8"/>
      <c r="G2003" s="8"/>
      <c r="H2003" s="8"/>
      <c r="I2003" s="9"/>
      <c r="J2003" s="9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7"/>
      <c r="B2004" s="8"/>
      <c r="C2004" s="8"/>
      <c r="D2004" s="8"/>
      <c r="E2004" s="8"/>
      <c r="F2004" s="8"/>
      <c r="G2004" s="8"/>
      <c r="H2004" s="8"/>
      <c r="I2004" s="9"/>
      <c r="J2004" s="9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7"/>
      <c r="B2005" s="8"/>
      <c r="C2005" s="8"/>
      <c r="D2005" s="8"/>
      <c r="E2005" s="8"/>
      <c r="F2005" s="8"/>
      <c r="G2005" s="8"/>
      <c r="H2005" s="8"/>
      <c r="I2005" s="9"/>
      <c r="J2005" s="9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7"/>
      <c r="B2006" s="8"/>
      <c r="C2006" s="8"/>
      <c r="D2006" s="8"/>
      <c r="E2006" s="8"/>
      <c r="F2006" s="8"/>
      <c r="G2006" s="8"/>
      <c r="H2006" s="8"/>
      <c r="I2006" s="9"/>
      <c r="J2006" s="9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7"/>
      <c r="B2007" s="8"/>
      <c r="C2007" s="8"/>
      <c r="D2007" s="8"/>
      <c r="E2007" s="8"/>
      <c r="F2007" s="8"/>
      <c r="G2007" s="8"/>
      <c r="H2007" s="8"/>
      <c r="I2007" s="9"/>
      <c r="J2007" s="9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7"/>
      <c r="B2008" s="8"/>
      <c r="C2008" s="8"/>
      <c r="D2008" s="8"/>
      <c r="E2008" s="8"/>
      <c r="F2008" s="8"/>
      <c r="G2008" s="8"/>
      <c r="H2008" s="8"/>
      <c r="I2008" s="9"/>
      <c r="J2008" s="9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7"/>
      <c r="B2009" s="8"/>
      <c r="C2009" s="8"/>
      <c r="D2009" s="8"/>
      <c r="E2009" s="8"/>
      <c r="F2009" s="8"/>
      <c r="G2009" s="8"/>
      <c r="H2009" s="8"/>
      <c r="I2009" s="9"/>
      <c r="J2009" s="9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7"/>
      <c r="B2010" s="8"/>
      <c r="C2010" s="8"/>
      <c r="D2010" s="8"/>
      <c r="E2010" s="8"/>
      <c r="F2010" s="8"/>
      <c r="G2010" s="8"/>
      <c r="H2010" s="8"/>
      <c r="I2010" s="9"/>
      <c r="J2010" s="9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7"/>
      <c r="B2011" s="8"/>
      <c r="C2011" s="8"/>
      <c r="D2011" s="8"/>
      <c r="E2011" s="8"/>
      <c r="F2011" s="8"/>
      <c r="G2011" s="8"/>
      <c r="H2011" s="8"/>
      <c r="I2011" s="9"/>
      <c r="J2011" s="9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7"/>
      <c r="B2012" s="8"/>
      <c r="C2012" s="8"/>
      <c r="D2012" s="8"/>
      <c r="E2012" s="8"/>
      <c r="F2012" s="8"/>
      <c r="G2012" s="8"/>
      <c r="H2012" s="8"/>
      <c r="I2012" s="9"/>
      <c r="J2012" s="9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7"/>
      <c r="B2013" s="8"/>
      <c r="C2013" s="8"/>
      <c r="D2013" s="8"/>
      <c r="E2013" s="8"/>
      <c r="F2013" s="8"/>
      <c r="G2013" s="8"/>
      <c r="H2013" s="8"/>
      <c r="I2013" s="9"/>
      <c r="J2013" s="9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7"/>
      <c r="B2014" s="8"/>
      <c r="C2014" s="8"/>
      <c r="D2014" s="8"/>
      <c r="E2014" s="8"/>
      <c r="F2014" s="8"/>
      <c r="G2014" s="8"/>
      <c r="H2014" s="8"/>
      <c r="I2014" s="9"/>
      <c r="J2014" s="9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7"/>
      <c r="B2015" s="8"/>
      <c r="C2015" s="8"/>
      <c r="D2015" s="8"/>
      <c r="E2015" s="8"/>
      <c r="F2015" s="8"/>
      <c r="G2015" s="8"/>
      <c r="H2015" s="8"/>
      <c r="I2015" s="9"/>
      <c r="J2015" s="9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7"/>
      <c r="B2016" s="8"/>
      <c r="C2016" s="8"/>
      <c r="D2016" s="8"/>
      <c r="E2016" s="8"/>
      <c r="F2016" s="8"/>
      <c r="G2016" s="8"/>
      <c r="H2016" s="8"/>
      <c r="I2016" s="9"/>
      <c r="J2016" s="9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7"/>
      <c r="B2017" s="8"/>
      <c r="C2017" s="8"/>
      <c r="D2017" s="8"/>
      <c r="E2017" s="8"/>
      <c r="F2017" s="8"/>
      <c r="G2017" s="8"/>
      <c r="H2017" s="8"/>
      <c r="I2017" s="9"/>
      <c r="J2017" s="9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7"/>
      <c r="B2018" s="8"/>
      <c r="C2018" s="8"/>
      <c r="D2018" s="8"/>
      <c r="E2018" s="8"/>
      <c r="F2018" s="8"/>
      <c r="G2018" s="8"/>
      <c r="H2018" s="8"/>
      <c r="I2018" s="9"/>
      <c r="J2018" s="9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7"/>
      <c r="B2019" s="8"/>
      <c r="C2019" s="8"/>
      <c r="D2019" s="8"/>
      <c r="E2019" s="8"/>
      <c r="F2019" s="8"/>
      <c r="G2019" s="8"/>
      <c r="H2019" s="8"/>
      <c r="I2019" s="9"/>
      <c r="J2019" s="9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7"/>
      <c r="B2020" s="8"/>
      <c r="C2020" s="8"/>
      <c r="D2020" s="8"/>
      <c r="E2020" s="8"/>
      <c r="F2020" s="8"/>
      <c r="G2020" s="8"/>
      <c r="H2020" s="8"/>
      <c r="I2020" s="9"/>
      <c r="J2020" s="9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7"/>
      <c r="B2021" s="8"/>
      <c r="C2021" s="8"/>
      <c r="D2021" s="8"/>
      <c r="E2021" s="8"/>
      <c r="F2021" s="8"/>
      <c r="G2021" s="8"/>
      <c r="H2021" s="8"/>
      <c r="I2021" s="9"/>
      <c r="J2021" s="9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7"/>
      <c r="B2022" s="8"/>
      <c r="C2022" s="8"/>
      <c r="D2022" s="8"/>
      <c r="E2022" s="8"/>
      <c r="F2022" s="8"/>
      <c r="G2022" s="8"/>
      <c r="H2022" s="8"/>
      <c r="I2022" s="9"/>
      <c r="J2022" s="9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7"/>
      <c r="B2023" s="8"/>
      <c r="C2023" s="8"/>
      <c r="D2023" s="8"/>
      <c r="E2023" s="8"/>
      <c r="F2023" s="8"/>
      <c r="G2023" s="8"/>
      <c r="H2023" s="8"/>
      <c r="I2023" s="9"/>
      <c r="J2023" s="9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7"/>
      <c r="B2024" s="8"/>
      <c r="C2024" s="8"/>
      <c r="D2024" s="8"/>
      <c r="E2024" s="8"/>
      <c r="F2024" s="8"/>
      <c r="G2024" s="8"/>
      <c r="H2024" s="8"/>
      <c r="I2024" s="9"/>
      <c r="J2024" s="9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7"/>
      <c r="B2025" s="8"/>
      <c r="C2025" s="8"/>
      <c r="D2025" s="8"/>
      <c r="E2025" s="8"/>
      <c r="F2025" s="8"/>
      <c r="G2025" s="8"/>
      <c r="H2025" s="8"/>
      <c r="I2025" s="9"/>
      <c r="J2025" s="9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7"/>
      <c r="B2026" s="8"/>
      <c r="C2026" s="8"/>
      <c r="D2026" s="8"/>
      <c r="E2026" s="8"/>
      <c r="F2026" s="8"/>
      <c r="G2026" s="8"/>
      <c r="H2026" s="8"/>
      <c r="I2026" s="9"/>
      <c r="J2026" s="9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7"/>
      <c r="B2027" s="8"/>
      <c r="C2027" s="8"/>
      <c r="D2027" s="8"/>
      <c r="E2027" s="8"/>
      <c r="F2027" s="8"/>
      <c r="G2027" s="8"/>
      <c r="H2027" s="8"/>
      <c r="I2027" s="9"/>
      <c r="J2027" s="9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7"/>
      <c r="B2028" s="8"/>
      <c r="C2028" s="8"/>
      <c r="D2028" s="8"/>
      <c r="E2028" s="8"/>
      <c r="F2028" s="8"/>
      <c r="G2028" s="8"/>
      <c r="H2028" s="8"/>
      <c r="I2028" s="9"/>
      <c r="J2028" s="9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7"/>
      <c r="B2029" s="8"/>
      <c r="C2029" s="8"/>
      <c r="D2029" s="8"/>
      <c r="E2029" s="8"/>
      <c r="F2029" s="8"/>
      <c r="G2029" s="8"/>
      <c r="H2029" s="8"/>
      <c r="I2029" s="9"/>
      <c r="J2029" s="9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7"/>
      <c r="B2030" s="8"/>
      <c r="C2030" s="8"/>
      <c r="D2030" s="8"/>
      <c r="E2030" s="8"/>
      <c r="F2030" s="8"/>
      <c r="G2030" s="8"/>
      <c r="H2030" s="8"/>
      <c r="I2030" s="9"/>
      <c r="J2030" s="9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7"/>
      <c r="B2031" s="8"/>
      <c r="C2031" s="8"/>
      <c r="D2031" s="8"/>
      <c r="E2031" s="8"/>
      <c r="F2031" s="8"/>
      <c r="G2031" s="8"/>
      <c r="H2031" s="8"/>
      <c r="I2031" s="9"/>
      <c r="J2031" s="9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7"/>
      <c r="B2032" s="8"/>
      <c r="C2032" s="8"/>
      <c r="D2032" s="8"/>
      <c r="E2032" s="8"/>
      <c r="F2032" s="8"/>
      <c r="G2032" s="8"/>
      <c r="H2032" s="8"/>
      <c r="I2032" s="9"/>
      <c r="J2032" s="9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7"/>
      <c r="B2033" s="8"/>
      <c r="C2033" s="8"/>
      <c r="D2033" s="8"/>
      <c r="E2033" s="8"/>
      <c r="F2033" s="8"/>
      <c r="G2033" s="8"/>
      <c r="H2033" s="8"/>
      <c r="I2033" s="9"/>
      <c r="J2033" s="9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7"/>
      <c r="B2034" s="8"/>
      <c r="C2034" s="8"/>
      <c r="D2034" s="8"/>
      <c r="E2034" s="8"/>
      <c r="F2034" s="8"/>
      <c r="G2034" s="8"/>
      <c r="H2034" s="8"/>
      <c r="I2034" s="9"/>
      <c r="J2034" s="9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7"/>
      <c r="B2035" s="8"/>
      <c r="C2035" s="8"/>
      <c r="D2035" s="8"/>
      <c r="E2035" s="8"/>
      <c r="F2035" s="8"/>
      <c r="G2035" s="8"/>
      <c r="H2035" s="8"/>
      <c r="I2035" s="9"/>
      <c r="J2035" s="9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7"/>
      <c r="B2036" s="8"/>
      <c r="C2036" s="8"/>
      <c r="D2036" s="8"/>
      <c r="E2036" s="8"/>
      <c r="F2036" s="8"/>
      <c r="G2036" s="8"/>
      <c r="H2036" s="8"/>
      <c r="I2036" s="9"/>
      <c r="J2036" s="9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7"/>
      <c r="B2037" s="8"/>
      <c r="C2037" s="8"/>
      <c r="D2037" s="8"/>
      <c r="E2037" s="8"/>
      <c r="F2037" s="8"/>
      <c r="G2037" s="8"/>
      <c r="H2037" s="8"/>
      <c r="I2037" s="9"/>
      <c r="J2037" s="9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7"/>
      <c r="B2038" s="8"/>
      <c r="C2038" s="8"/>
      <c r="D2038" s="8"/>
      <c r="E2038" s="8"/>
      <c r="F2038" s="8"/>
      <c r="G2038" s="8"/>
      <c r="H2038" s="8"/>
      <c r="I2038" s="9"/>
      <c r="J2038" s="9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7"/>
      <c r="B2039" s="8"/>
      <c r="C2039" s="8"/>
      <c r="D2039" s="8"/>
      <c r="E2039" s="8"/>
      <c r="F2039" s="8"/>
      <c r="G2039" s="8"/>
      <c r="H2039" s="8"/>
      <c r="I2039" s="9"/>
      <c r="J2039" s="9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7"/>
      <c r="B2040" s="8"/>
      <c r="C2040" s="8"/>
      <c r="D2040" s="8"/>
      <c r="E2040" s="8"/>
      <c r="F2040" s="8"/>
      <c r="G2040" s="8"/>
      <c r="H2040" s="8"/>
      <c r="I2040" s="9"/>
      <c r="J2040" s="9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7"/>
      <c r="B2041" s="8"/>
      <c r="C2041" s="8"/>
      <c r="D2041" s="8"/>
      <c r="E2041" s="8"/>
      <c r="F2041" s="8"/>
      <c r="G2041" s="8"/>
      <c r="H2041" s="8"/>
      <c r="I2041" s="9"/>
      <c r="J2041" s="9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7"/>
      <c r="B2042" s="8"/>
      <c r="C2042" s="8"/>
      <c r="D2042" s="8"/>
      <c r="E2042" s="8"/>
      <c r="F2042" s="8"/>
      <c r="G2042" s="8"/>
      <c r="H2042" s="8"/>
      <c r="I2042" s="9"/>
      <c r="J2042" s="9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7"/>
      <c r="B2043" s="8"/>
      <c r="C2043" s="8"/>
      <c r="D2043" s="8"/>
      <c r="E2043" s="8"/>
      <c r="F2043" s="8"/>
      <c r="G2043" s="8"/>
      <c r="H2043" s="8"/>
      <c r="I2043" s="9"/>
      <c r="J2043" s="9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7"/>
      <c r="B2044" s="8"/>
      <c r="C2044" s="8"/>
      <c r="D2044" s="8"/>
      <c r="E2044" s="8"/>
      <c r="F2044" s="8"/>
      <c r="G2044" s="8"/>
      <c r="H2044" s="8"/>
      <c r="I2044" s="9"/>
      <c r="J2044" s="9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7"/>
      <c r="B2045" s="8"/>
      <c r="C2045" s="8"/>
      <c r="D2045" s="8"/>
      <c r="E2045" s="8"/>
      <c r="F2045" s="8"/>
      <c r="G2045" s="8"/>
      <c r="H2045" s="8"/>
      <c r="I2045" s="9"/>
      <c r="J2045" s="9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7"/>
      <c r="B2046" s="8"/>
      <c r="C2046" s="8"/>
      <c r="D2046" s="8"/>
      <c r="E2046" s="8"/>
      <c r="F2046" s="8"/>
      <c r="G2046" s="8"/>
      <c r="H2046" s="8"/>
      <c r="I2046" s="9"/>
      <c r="J2046" s="9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7"/>
      <c r="B2047" s="8"/>
      <c r="C2047" s="8"/>
      <c r="D2047" s="8"/>
      <c r="E2047" s="8"/>
      <c r="F2047" s="8"/>
      <c r="G2047" s="8"/>
      <c r="H2047" s="8"/>
      <c r="I2047" s="9"/>
      <c r="J2047" s="9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7"/>
      <c r="B2048" s="8"/>
      <c r="C2048" s="8"/>
      <c r="D2048" s="8"/>
      <c r="E2048" s="8"/>
      <c r="F2048" s="8"/>
      <c r="G2048" s="8"/>
      <c r="H2048" s="8"/>
      <c r="I2048" s="9"/>
      <c r="J2048" s="9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7"/>
      <c r="B2049" s="8"/>
      <c r="C2049" s="8"/>
      <c r="D2049" s="8"/>
      <c r="E2049" s="8"/>
      <c r="F2049" s="8"/>
      <c r="G2049" s="8"/>
      <c r="H2049" s="8"/>
      <c r="I2049" s="9"/>
      <c r="J2049" s="9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7"/>
      <c r="B2050" s="8"/>
      <c r="C2050" s="8"/>
      <c r="D2050" s="8"/>
      <c r="E2050" s="8"/>
      <c r="F2050" s="8"/>
      <c r="G2050" s="8"/>
      <c r="H2050" s="8"/>
      <c r="I2050" s="9"/>
      <c r="J2050" s="9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7"/>
      <c r="B2051" s="8"/>
      <c r="C2051" s="8"/>
      <c r="D2051" s="8"/>
      <c r="E2051" s="8"/>
      <c r="F2051" s="8"/>
      <c r="G2051" s="8"/>
      <c r="H2051" s="8"/>
      <c r="I2051" s="9"/>
      <c r="J2051" s="9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7"/>
      <c r="B2052" s="8"/>
      <c r="C2052" s="8"/>
      <c r="D2052" s="8"/>
      <c r="E2052" s="8"/>
      <c r="F2052" s="8"/>
      <c r="G2052" s="8"/>
      <c r="H2052" s="8"/>
      <c r="I2052" s="9"/>
      <c r="J2052" s="9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7"/>
      <c r="B2053" s="8"/>
      <c r="C2053" s="8"/>
      <c r="D2053" s="8"/>
      <c r="E2053" s="8"/>
      <c r="F2053" s="8"/>
      <c r="G2053" s="8"/>
      <c r="H2053" s="8"/>
      <c r="I2053" s="9"/>
      <c r="J2053" s="9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7"/>
      <c r="B2054" s="8"/>
      <c r="C2054" s="8"/>
      <c r="D2054" s="8"/>
      <c r="E2054" s="8"/>
      <c r="F2054" s="8"/>
      <c r="G2054" s="8"/>
      <c r="H2054" s="8"/>
      <c r="I2054" s="9"/>
      <c r="J2054" s="9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7"/>
      <c r="B2055" s="8"/>
      <c r="C2055" s="8"/>
      <c r="D2055" s="8"/>
      <c r="E2055" s="8"/>
      <c r="F2055" s="8"/>
      <c r="G2055" s="8"/>
      <c r="H2055" s="8"/>
      <c r="I2055" s="9"/>
      <c r="J2055" s="9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7"/>
      <c r="B2056" s="8"/>
      <c r="C2056" s="8"/>
      <c r="D2056" s="8"/>
      <c r="E2056" s="8"/>
      <c r="F2056" s="8"/>
      <c r="G2056" s="8"/>
      <c r="H2056" s="8"/>
      <c r="I2056" s="9"/>
      <c r="J2056" s="9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7"/>
      <c r="B2057" s="8"/>
      <c r="C2057" s="8"/>
      <c r="D2057" s="8"/>
      <c r="E2057" s="8"/>
      <c r="F2057" s="8"/>
      <c r="G2057" s="8"/>
      <c r="H2057" s="8"/>
      <c r="I2057" s="9"/>
      <c r="J2057" s="9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7"/>
      <c r="B2058" s="8"/>
      <c r="C2058" s="8"/>
      <c r="D2058" s="8"/>
      <c r="E2058" s="8"/>
      <c r="F2058" s="8"/>
      <c r="G2058" s="8"/>
      <c r="H2058" s="8"/>
      <c r="I2058" s="9"/>
      <c r="J2058" s="9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7"/>
      <c r="B2059" s="8"/>
      <c r="C2059" s="8"/>
      <c r="D2059" s="8"/>
      <c r="E2059" s="8"/>
      <c r="F2059" s="8"/>
      <c r="G2059" s="8"/>
      <c r="H2059" s="8"/>
      <c r="I2059" s="9"/>
      <c r="J2059" s="9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7"/>
      <c r="B2060" s="8"/>
      <c r="C2060" s="8"/>
      <c r="D2060" s="8"/>
      <c r="E2060" s="8"/>
      <c r="F2060" s="8"/>
      <c r="G2060" s="8"/>
      <c r="H2060" s="8"/>
      <c r="I2060" s="9"/>
      <c r="J2060" s="9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7"/>
      <c r="B2061" s="8"/>
      <c r="C2061" s="8"/>
      <c r="D2061" s="8"/>
      <c r="E2061" s="8"/>
      <c r="F2061" s="8"/>
      <c r="G2061" s="8"/>
      <c r="H2061" s="8"/>
      <c r="I2061" s="9"/>
      <c r="J2061" s="9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7"/>
      <c r="B2062" s="8"/>
      <c r="C2062" s="8"/>
      <c r="D2062" s="8"/>
      <c r="E2062" s="8"/>
      <c r="F2062" s="8"/>
      <c r="G2062" s="8"/>
      <c r="H2062" s="8"/>
      <c r="I2062" s="9"/>
      <c r="J2062" s="9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7"/>
      <c r="B2063" s="8"/>
      <c r="C2063" s="8"/>
      <c r="D2063" s="8"/>
      <c r="E2063" s="8"/>
      <c r="F2063" s="8"/>
      <c r="G2063" s="8"/>
      <c r="H2063" s="8"/>
      <c r="I2063" s="9"/>
      <c r="J2063" s="9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7"/>
      <c r="B2064" s="8"/>
      <c r="C2064" s="8"/>
      <c r="D2064" s="8"/>
      <c r="E2064" s="8"/>
      <c r="F2064" s="8"/>
      <c r="G2064" s="8"/>
      <c r="H2064" s="8"/>
      <c r="I2064" s="9"/>
      <c r="J2064" s="9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7"/>
      <c r="B2065" s="8"/>
      <c r="C2065" s="8"/>
      <c r="D2065" s="8"/>
      <c r="E2065" s="8"/>
      <c r="F2065" s="8"/>
      <c r="G2065" s="8"/>
      <c r="H2065" s="8"/>
      <c r="I2065" s="9"/>
      <c r="J2065" s="9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7"/>
      <c r="B2066" s="8"/>
      <c r="C2066" s="8"/>
      <c r="D2066" s="8"/>
      <c r="E2066" s="8"/>
      <c r="F2066" s="8"/>
      <c r="G2066" s="8"/>
      <c r="H2066" s="8"/>
      <c r="I2066" s="9"/>
      <c r="J2066" s="9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7"/>
      <c r="B2067" s="8"/>
      <c r="C2067" s="8"/>
      <c r="D2067" s="8"/>
      <c r="E2067" s="8"/>
      <c r="F2067" s="8"/>
      <c r="G2067" s="8"/>
      <c r="H2067" s="8"/>
      <c r="I2067" s="9"/>
      <c r="J2067" s="9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7"/>
      <c r="B2068" s="8"/>
      <c r="C2068" s="8"/>
      <c r="D2068" s="8"/>
      <c r="E2068" s="8"/>
      <c r="F2068" s="8"/>
      <c r="G2068" s="8"/>
      <c r="H2068" s="8"/>
      <c r="I2068" s="9"/>
      <c r="J2068" s="9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7"/>
      <c r="B2069" s="8"/>
      <c r="C2069" s="8"/>
      <c r="D2069" s="8"/>
      <c r="E2069" s="8"/>
      <c r="F2069" s="8"/>
      <c r="G2069" s="8"/>
      <c r="H2069" s="8"/>
      <c r="I2069" s="9"/>
      <c r="J2069" s="9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7"/>
      <c r="B2070" s="8"/>
      <c r="C2070" s="8"/>
      <c r="D2070" s="8"/>
      <c r="E2070" s="8"/>
      <c r="F2070" s="8"/>
      <c r="G2070" s="8"/>
      <c r="H2070" s="8"/>
      <c r="I2070" s="9"/>
      <c r="J2070" s="9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7"/>
      <c r="B2071" s="8"/>
      <c r="C2071" s="8"/>
      <c r="D2071" s="8"/>
      <c r="E2071" s="8"/>
      <c r="F2071" s="8"/>
      <c r="G2071" s="8"/>
      <c r="H2071" s="8"/>
      <c r="I2071" s="9"/>
      <c r="J2071" s="9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7"/>
      <c r="B2072" s="8"/>
      <c r="C2072" s="8"/>
      <c r="D2072" s="8"/>
      <c r="E2072" s="8"/>
      <c r="F2072" s="8"/>
      <c r="G2072" s="8"/>
      <c r="H2072" s="8"/>
      <c r="I2072" s="9"/>
      <c r="J2072" s="9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7"/>
      <c r="B2073" s="8"/>
      <c r="C2073" s="8"/>
      <c r="D2073" s="8"/>
      <c r="E2073" s="8"/>
      <c r="F2073" s="8"/>
      <c r="G2073" s="8"/>
      <c r="H2073" s="8"/>
      <c r="I2073" s="9"/>
      <c r="J2073" s="9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7"/>
      <c r="B2074" s="8"/>
      <c r="C2074" s="8"/>
      <c r="D2074" s="8"/>
      <c r="E2074" s="8"/>
      <c r="F2074" s="8"/>
      <c r="G2074" s="8"/>
      <c r="H2074" s="8"/>
      <c r="I2074" s="9"/>
      <c r="J2074" s="9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7"/>
      <c r="B2075" s="8"/>
      <c r="C2075" s="8"/>
      <c r="D2075" s="8"/>
      <c r="E2075" s="8"/>
      <c r="F2075" s="8"/>
      <c r="G2075" s="8"/>
      <c r="H2075" s="8"/>
      <c r="I2075" s="9"/>
      <c r="J2075" s="9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7"/>
      <c r="B2076" s="8"/>
      <c r="C2076" s="8"/>
      <c r="D2076" s="8"/>
      <c r="E2076" s="8"/>
      <c r="F2076" s="8"/>
      <c r="G2076" s="8"/>
      <c r="H2076" s="8"/>
      <c r="I2076" s="9"/>
      <c r="J2076" s="9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7"/>
      <c r="B2077" s="8"/>
      <c r="C2077" s="8"/>
      <c r="D2077" s="8"/>
      <c r="E2077" s="8"/>
      <c r="F2077" s="8"/>
      <c r="G2077" s="8"/>
      <c r="H2077" s="8"/>
      <c r="I2077" s="9"/>
      <c r="J2077" s="9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7"/>
      <c r="B2078" s="8"/>
      <c r="C2078" s="8"/>
      <c r="D2078" s="8"/>
      <c r="E2078" s="8"/>
      <c r="F2078" s="8"/>
      <c r="G2078" s="8"/>
      <c r="H2078" s="8"/>
      <c r="I2078" s="9"/>
      <c r="J2078" s="9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7"/>
      <c r="B2079" s="8"/>
      <c r="C2079" s="8"/>
      <c r="D2079" s="8"/>
      <c r="E2079" s="8"/>
      <c r="F2079" s="8"/>
      <c r="G2079" s="8"/>
      <c r="H2079" s="8"/>
      <c r="I2079" s="9"/>
      <c r="J2079" s="9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7"/>
      <c r="B2080" s="8"/>
      <c r="C2080" s="8"/>
      <c r="D2080" s="8"/>
      <c r="E2080" s="8"/>
      <c r="F2080" s="8"/>
      <c r="G2080" s="8"/>
      <c r="H2080" s="8"/>
      <c r="I2080" s="9"/>
      <c r="J2080" s="9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7"/>
      <c r="B2081" s="8"/>
      <c r="C2081" s="8"/>
      <c r="D2081" s="8"/>
      <c r="E2081" s="8"/>
      <c r="F2081" s="8"/>
      <c r="G2081" s="8"/>
      <c r="H2081" s="8"/>
      <c r="I2081" s="9"/>
      <c r="J2081" s="9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7"/>
      <c r="B2082" s="8"/>
      <c r="C2082" s="8"/>
      <c r="D2082" s="8"/>
      <c r="E2082" s="8"/>
      <c r="F2082" s="8"/>
      <c r="G2082" s="8"/>
      <c r="H2082" s="8"/>
      <c r="I2082" s="9"/>
      <c r="J2082" s="9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7"/>
      <c r="B2083" s="8"/>
      <c r="C2083" s="8"/>
      <c r="D2083" s="8"/>
      <c r="E2083" s="8"/>
      <c r="F2083" s="8"/>
      <c r="G2083" s="8"/>
      <c r="H2083" s="8"/>
      <c r="I2083" s="9"/>
      <c r="J2083" s="9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7"/>
      <c r="B2084" s="8"/>
      <c r="C2084" s="8"/>
      <c r="D2084" s="8"/>
      <c r="E2084" s="8"/>
      <c r="F2084" s="8"/>
      <c r="G2084" s="8"/>
      <c r="H2084" s="8"/>
      <c r="I2084" s="9"/>
      <c r="J2084" s="9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7"/>
      <c r="B2085" s="8"/>
      <c r="C2085" s="8"/>
      <c r="D2085" s="8"/>
      <c r="E2085" s="8"/>
      <c r="F2085" s="8"/>
      <c r="G2085" s="8"/>
      <c r="H2085" s="8"/>
      <c r="I2085" s="9"/>
      <c r="J2085" s="9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7"/>
      <c r="B2086" s="8"/>
      <c r="C2086" s="8"/>
      <c r="D2086" s="8"/>
      <c r="E2086" s="8"/>
      <c r="F2086" s="8"/>
      <c r="G2086" s="8"/>
      <c r="H2086" s="8"/>
      <c r="I2086" s="9"/>
      <c r="J2086" s="9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7"/>
      <c r="B2087" s="8"/>
      <c r="C2087" s="8"/>
      <c r="D2087" s="8"/>
      <c r="E2087" s="8"/>
      <c r="F2087" s="8"/>
      <c r="G2087" s="8"/>
      <c r="H2087" s="8"/>
      <c r="I2087" s="9"/>
      <c r="J2087" s="9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7"/>
      <c r="B2088" s="8"/>
      <c r="C2088" s="8"/>
      <c r="D2088" s="8"/>
      <c r="E2088" s="8"/>
      <c r="F2088" s="8"/>
      <c r="G2088" s="8"/>
      <c r="H2088" s="8"/>
      <c r="I2088" s="9"/>
      <c r="J2088" s="9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7"/>
      <c r="B2089" s="8"/>
      <c r="C2089" s="8"/>
      <c r="D2089" s="8"/>
      <c r="E2089" s="8"/>
      <c r="F2089" s="8"/>
      <c r="G2089" s="8"/>
      <c r="H2089" s="8"/>
      <c r="I2089" s="9"/>
      <c r="J2089" s="9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7"/>
      <c r="B2090" s="8"/>
      <c r="C2090" s="8"/>
      <c r="D2090" s="8"/>
      <c r="E2090" s="8"/>
      <c r="F2090" s="8"/>
      <c r="G2090" s="8"/>
      <c r="H2090" s="8"/>
      <c r="I2090" s="9"/>
      <c r="J2090" s="9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7"/>
      <c r="B2091" s="8"/>
      <c r="C2091" s="8"/>
      <c r="D2091" s="8"/>
      <c r="E2091" s="8"/>
      <c r="F2091" s="8"/>
      <c r="G2091" s="8"/>
      <c r="H2091" s="8"/>
      <c r="I2091" s="9"/>
      <c r="J2091" s="9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7"/>
      <c r="B2092" s="8"/>
      <c r="C2092" s="8"/>
      <c r="D2092" s="8"/>
      <c r="E2092" s="8"/>
      <c r="F2092" s="8"/>
      <c r="G2092" s="8"/>
      <c r="H2092" s="8"/>
      <c r="I2092" s="9"/>
      <c r="J2092" s="9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7"/>
      <c r="B2093" s="8"/>
      <c r="C2093" s="8"/>
      <c r="D2093" s="8"/>
      <c r="E2093" s="8"/>
      <c r="F2093" s="8"/>
      <c r="G2093" s="8"/>
      <c r="H2093" s="8"/>
      <c r="I2093" s="9"/>
      <c r="J2093" s="9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7"/>
      <c r="B2094" s="8"/>
      <c r="C2094" s="8"/>
      <c r="D2094" s="8"/>
      <c r="E2094" s="8"/>
      <c r="F2094" s="8"/>
      <c r="G2094" s="8"/>
      <c r="H2094" s="8"/>
      <c r="I2094" s="9"/>
      <c r="J2094" s="9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7"/>
      <c r="B2095" s="8"/>
      <c r="C2095" s="8"/>
      <c r="D2095" s="8"/>
      <c r="E2095" s="8"/>
      <c r="F2095" s="8"/>
      <c r="G2095" s="8"/>
      <c r="H2095" s="8"/>
      <c r="I2095" s="9"/>
      <c r="J2095" s="9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7"/>
      <c r="B2096" s="8"/>
      <c r="C2096" s="8"/>
      <c r="D2096" s="8"/>
      <c r="E2096" s="8"/>
      <c r="F2096" s="8"/>
      <c r="G2096" s="8"/>
      <c r="H2096" s="8"/>
      <c r="I2096" s="9"/>
      <c r="J2096" s="9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7"/>
      <c r="B2097" s="8"/>
      <c r="C2097" s="8"/>
      <c r="D2097" s="8"/>
      <c r="E2097" s="8"/>
      <c r="F2097" s="8"/>
      <c r="G2097" s="8"/>
      <c r="H2097" s="8"/>
      <c r="I2097" s="9"/>
      <c r="J2097" s="9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7"/>
      <c r="B2098" s="8"/>
      <c r="C2098" s="8"/>
      <c r="D2098" s="8"/>
      <c r="E2098" s="8"/>
      <c r="F2098" s="8"/>
      <c r="G2098" s="8"/>
      <c r="H2098" s="8"/>
      <c r="I2098" s="9"/>
      <c r="J2098" s="9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7"/>
      <c r="B2099" s="8"/>
      <c r="C2099" s="8"/>
      <c r="D2099" s="8"/>
      <c r="E2099" s="8"/>
      <c r="F2099" s="8"/>
      <c r="G2099" s="8"/>
      <c r="H2099" s="8"/>
      <c r="I2099" s="9"/>
      <c r="J2099" s="9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7"/>
      <c r="B2100" s="8"/>
      <c r="C2100" s="8"/>
      <c r="D2100" s="8"/>
      <c r="E2100" s="8"/>
      <c r="F2100" s="8"/>
      <c r="G2100" s="8"/>
      <c r="H2100" s="8"/>
      <c r="I2100" s="9"/>
      <c r="J2100" s="9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7"/>
      <c r="B2101" s="8"/>
      <c r="C2101" s="8"/>
      <c r="D2101" s="8"/>
      <c r="E2101" s="8"/>
      <c r="F2101" s="8"/>
      <c r="G2101" s="8"/>
      <c r="H2101" s="8"/>
      <c r="I2101" s="9"/>
      <c r="J2101" s="9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7"/>
      <c r="B2102" s="8"/>
      <c r="C2102" s="8"/>
      <c r="D2102" s="8"/>
      <c r="E2102" s="8"/>
      <c r="F2102" s="8"/>
      <c r="G2102" s="8"/>
      <c r="H2102" s="8"/>
      <c r="I2102" s="9"/>
      <c r="J2102" s="9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7"/>
      <c r="B2103" s="8"/>
      <c r="C2103" s="8"/>
      <c r="D2103" s="8"/>
      <c r="E2103" s="8"/>
      <c r="F2103" s="8"/>
      <c r="G2103" s="8"/>
      <c r="H2103" s="8"/>
      <c r="I2103" s="9"/>
      <c r="J2103" s="9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7"/>
      <c r="B2104" s="8"/>
      <c r="C2104" s="8"/>
      <c r="D2104" s="8"/>
      <c r="E2104" s="8"/>
      <c r="F2104" s="8"/>
      <c r="G2104" s="8"/>
      <c r="H2104" s="8"/>
      <c r="I2104" s="9"/>
      <c r="J2104" s="9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7"/>
      <c r="B2105" s="8"/>
      <c r="C2105" s="8"/>
      <c r="D2105" s="8"/>
      <c r="E2105" s="8"/>
      <c r="F2105" s="8"/>
      <c r="G2105" s="8"/>
      <c r="H2105" s="8"/>
      <c r="I2105" s="9"/>
      <c r="J2105" s="9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7"/>
      <c r="B2106" s="8"/>
      <c r="C2106" s="8"/>
      <c r="D2106" s="8"/>
      <c r="E2106" s="8"/>
      <c r="F2106" s="8"/>
      <c r="G2106" s="8"/>
      <c r="H2106" s="8"/>
      <c r="I2106" s="9"/>
      <c r="J2106" s="9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7"/>
      <c r="B2107" s="8"/>
      <c r="C2107" s="8"/>
      <c r="D2107" s="8"/>
      <c r="E2107" s="8"/>
      <c r="F2107" s="8"/>
      <c r="G2107" s="8"/>
      <c r="H2107" s="8"/>
      <c r="I2107" s="9"/>
      <c r="J2107" s="9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7"/>
      <c r="B2108" s="8"/>
      <c r="C2108" s="8"/>
      <c r="D2108" s="8"/>
      <c r="E2108" s="8"/>
      <c r="F2108" s="8"/>
      <c r="G2108" s="8"/>
      <c r="H2108" s="8"/>
      <c r="I2108" s="9"/>
      <c r="J2108" s="9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7"/>
      <c r="B2109" s="8"/>
      <c r="C2109" s="8"/>
      <c r="D2109" s="8"/>
      <c r="E2109" s="8"/>
      <c r="F2109" s="8"/>
      <c r="G2109" s="8"/>
      <c r="H2109" s="8"/>
      <c r="I2109" s="9"/>
      <c r="J2109" s="9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7"/>
      <c r="B2110" s="8"/>
      <c r="C2110" s="8"/>
      <c r="D2110" s="8"/>
      <c r="E2110" s="8"/>
      <c r="F2110" s="8"/>
      <c r="G2110" s="8"/>
      <c r="H2110" s="8"/>
      <c r="I2110" s="9"/>
      <c r="J2110" s="9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7"/>
      <c r="B2111" s="8"/>
      <c r="C2111" s="8"/>
      <c r="D2111" s="8"/>
      <c r="E2111" s="8"/>
      <c r="F2111" s="8"/>
      <c r="G2111" s="8"/>
      <c r="H2111" s="8"/>
      <c r="I2111" s="9"/>
      <c r="J2111" s="9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7"/>
      <c r="B2112" s="8"/>
      <c r="C2112" s="8"/>
      <c r="D2112" s="8"/>
      <c r="E2112" s="8"/>
      <c r="F2112" s="8"/>
      <c r="G2112" s="8"/>
      <c r="H2112" s="8"/>
      <c r="I2112" s="9"/>
      <c r="J2112" s="9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7"/>
      <c r="B2113" s="8"/>
      <c r="C2113" s="8"/>
      <c r="D2113" s="8"/>
      <c r="E2113" s="8"/>
      <c r="F2113" s="8"/>
      <c r="G2113" s="8"/>
      <c r="H2113" s="8"/>
      <c r="I2113" s="9"/>
      <c r="J2113" s="9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7"/>
      <c r="B2114" s="8"/>
      <c r="C2114" s="8"/>
      <c r="D2114" s="8"/>
      <c r="E2114" s="8"/>
      <c r="F2114" s="8"/>
      <c r="G2114" s="8"/>
      <c r="H2114" s="8"/>
      <c r="I2114" s="9"/>
      <c r="J2114" s="9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7"/>
      <c r="B2115" s="8"/>
      <c r="C2115" s="8"/>
      <c r="D2115" s="8"/>
      <c r="E2115" s="8"/>
      <c r="F2115" s="8"/>
      <c r="G2115" s="8"/>
      <c r="H2115" s="8"/>
      <c r="I2115" s="9"/>
      <c r="J2115" s="9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7"/>
      <c r="B2116" s="8"/>
      <c r="C2116" s="8"/>
      <c r="D2116" s="8"/>
      <c r="E2116" s="8"/>
      <c r="F2116" s="8"/>
      <c r="G2116" s="8"/>
      <c r="H2116" s="8"/>
      <c r="I2116" s="9"/>
      <c r="J2116" s="9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7"/>
      <c r="B2117" s="8"/>
      <c r="C2117" s="8"/>
      <c r="D2117" s="8"/>
      <c r="E2117" s="8"/>
      <c r="F2117" s="8"/>
      <c r="G2117" s="8"/>
      <c r="H2117" s="8"/>
      <c r="I2117" s="9"/>
      <c r="J2117" s="9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7"/>
      <c r="B2118" s="8"/>
      <c r="C2118" s="8"/>
      <c r="D2118" s="8"/>
      <c r="E2118" s="8"/>
      <c r="F2118" s="8"/>
      <c r="G2118" s="8"/>
      <c r="H2118" s="8"/>
      <c r="I2118" s="9"/>
      <c r="J2118" s="9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7"/>
      <c r="B2119" s="8"/>
      <c r="C2119" s="8"/>
      <c r="D2119" s="8"/>
      <c r="E2119" s="8"/>
      <c r="F2119" s="8"/>
      <c r="G2119" s="8"/>
      <c r="H2119" s="8"/>
      <c r="I2119" s="9"/>
      <c r="J2119" s="9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7"/>
      <c r="B2120" s="8"/>
      <c r="C2120" s="8"/>
      <c r="D2120" s="8"/>
      <c r="E2120" s="8"/>
      <c r="F2120" s="8"/>
      <c r="G2120" s="8"/>
      <c r="H2120" s="8"/>
      <c r="I2120" s="9"/>
      <c r="J2120" s="9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7"/>
      <c r="B2121" s="8"/>
      <c r="C2121" s="8"/>
      <c r="D2121" s="8"/>
      <c r="E2121" s="8"/>
      <c r="F2121" s="8"/>
      <c r="G2121" s="8"/>
      <c r="H2121" s="8"/>
      <c r="I2121" s="9"/>
      <c r="J2121" s="9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7"/>
      <c r="B2122" s="8"/>
      <c r="C2122" s="8"/>
      <c r="D2122" s="8"/>
      <c r="E2122" s="8"/>
      <c r="F2122" s="8"/>
      <c r="G2122" s="8"/>
      <c r="H2122" s="8"/>
      <c r="I2122" s="9"/>
      <c r="J2122" s="9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7"/>
      <c r="B2123" s="8"/>
      <c r="C2123" s="8"/>
      <c r="D2123" s="8"/>
      <c r="E2123" s="8"/>
      <c r="F2123" s="8"/>
      <c r="G2123" s="8"/>
      <c r="H2123" s="8"/>
      <c r="I2123" s="9"/>
      <c r="J2123" s="9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7"/>
      <c r="B2124" s="8"/>
      <c r="C2124" s="8"/>
      <c r="D2124" s="8"/>
      <c r="E2124" s="8"/>
      <c r="F2124" s="8"/>
      <c r="G2124" s="8"/>
      <c r="H2124" s="8"/>
      <c r="I2124" s="9"/>
      <c r="J2124" s="9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7"/>
      <c r="B2125" s="8"/>
      <c r="C2125" s="8"/>
      <c r="D2125" s="8"/>
      <c r="E2125" s="8"/>
      <c r="F2125" s="8"/>
      <c r="G2125" s="8"/>
      <c r="H2125" s="8"/>
      <c r="I2125" s="9"/>
      <c r="J2125" s="9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7"/>
      <c r="B2126" s="8"/>
      <c r="C2126" s="8"/>
      <c r="D2126" s="8"/>
      <c r="E2126" s="8"/>
      <c r="F2126" s="8"/>
      <c r="G2126" s="8"/>
      <c r="H2126" s="8"/>
      <c r="I2126" s="9"/>
      <c r="J2126" s="9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7"/>
      <c r="B2127" s="8"/>
      <c r="C2127" s="8"/>
      <c r="D2127" s="8"/>
      <c r="E2127" s="8"/>
      <c r="F2127" s="8"/>
      <c r="G2127" s="8"/>
      <c r="H2127" s="8"/>
      <c r="I2127" s="9"/>
      <c r="J2127" s="9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7"/>
      <c r="B2128" s="8"/>
      <c r="C2128" s="8"/>
      <c r="D2128" s="8"/>
      <c r="E2128" s="8"/>
      <c r="F2128" s="8"/>
      <c r="G2128" s="8"/>
      <c r="H2128" s="8"/>
      <c r="I2128" s="9"/>
      <c r="J2128" s="9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7"/>
      <c r="B2129" s="8"/>
      <c r="C2129" s="8"/>
      <c r="D2129" s="8"/>
      <c r="E2129" s="8"/>
      <c r="F2129" s="8"/>
      <c r="G2129" s="8"/>
      <c r="H2129" s="8"/>
      <c r="I2129" s="9"/>
      <c r="J2129" s="9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7"/>
      <c r="B2130" s="8"/>
      <c r="C2130" s="8"/>
      <c r="D2130" s="8"/>
      <c r="E2130" s="8"/>
      <c r="F2130" s="8"/>
      <c r="G2130" s="8"/>
      <c r="H2130" s="8"/>
      <c r="I2130" s="9"/>
      <c r="J2130" s="9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customHeight="1">
      <c r="A2131" s="7"/>
      <c r="B2131" s="8"/>
      <c r="C2131" s="8"/>
      <c r="D2131" s="8"/>
      <c r="E2131" s="8"/>
      <c r="F2131" s="8"/>
      <c r="G2131" s="8"/>
      <c r="H2131" s="8"/>
      <c r="I2131" s="9"/>
      <c r="J2131" s="9"/>
      <c r="K2131" s="18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customHeight="1">
      <c r="A2132" s="7"/>
      <c r="B2132" s="8"/>
      <c r="C2132" s="8"/>
      <c r="D2132" s="8"/>
      <c r="E2132" s="8"/>
      <c r="F2132" s="8"/>
      <c r="G2132" s="8"/>
      <c r="H2132" s="8"/>
      <c r="I2132" s="9"/>
      <c r="J2132" s="9"/>
      <c r="K2132" s="18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customHeight="1">
      <c r="A2133" s="7"/>
      <c r="B2133" s="8"/>
      <c r="C2133" s="8"/>
      <c r="D2133" s="8"/>
      <c r="E2133" s="8"/>
      <c r="F2133" s="8"/>
      <c r="G2133" s="8"/>
      <c r="H2133" s="8"/>
      <c r="I2133" s="9"/>
      <c r="J2133" s="9"/>
      <c r="K2133" s="18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4.25" customHeight="1">
      <c r="A2134" s="7"/>
      <c r="B2134" s="8"/>
      <c r="C2134" s="8"/>
      <c r="D2134" s="8"/>
      <c r="E2134" s="8"/>
      <c r="F2134" s="8"/>
      <c r="G2134" s="8"/>
      <c r="H2134" s="8"/>
      <c r="I2134" s="9"/>
      <c r="J2134" s="9"/>
      <c r="K2134" s="18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customHeight="1">
      <c r="A2135" s="7"/>
      <c r="B2135" s="8"/>
      <c r="C2135" s="8"/>
      <c r="D2135" s="8"/>
      <c r="E2135" s="8"/>
      <c r="F2135" s="8"/>
      <c r="G2135" s="8"/>
      <c r="H2135" s="8"/>
      <c r="I2135" s="9"/>
      <c r="J2135" s="9"/>
      <c r="K2135" s="18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customHeight="1">
      <c r="A2136" s="7"/>
      <c r="B2136" s="8"/>
      <c r="C2136" s="8"/>
      <c r="D2136" s="8"/>
      <c r="E2136" s="8"/>
      <c r="F2136" s="8"/>
      <c r="G2136" s="8"/>
      <c r="H2136" s="8"/>
      <c r="I2136" s="9"/>
      <c r="J2136" s="9"/>
      <c r="K2136" s="18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customHeight="1">
      <c r="A2137" s="7"/>
      <c r="B2137" s="8"/>
      <c r="C2137" s="8"/>
      <c r="D2137" s="8"/>
      <c r="E2137" s="8"/>
      <c r="F2137" s="8"/>
      <c r="G2137" s="8"/>
      <c r="H2137" s="8"/>
      <c r="I2137" s="9"/>
      <c r="J2137" s="9"/>
      <c r="K2137" s="18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4.25" customHeight="1">
      <c r="A2138" s="7"/>
      <c r="B2138" s="8"/>
      <c r="C2138" s="8"/>
      <c r="D2138" s="8"/>
      <c r="E2138" s="8"/>
      <c r="F2138" s="8"/>
      <c r="G2138" s="8"/>
      <c r="H2138" s="8"/>
      <c r="I2138" s="9"/>
      <c r="J2138" s="9"/>
      <c r="K2138" s="18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customHeight="1">
      <c r="A2139" s="7"/>
      <c r="B2139" s="8"/>
      <c r="C2139" s="8"/>
      <c r="D2139" s="8"/>
      <c r="E2139" s="8"/>
      <c r="F2139" s="8"/>
      <c r="G2139" s="8"/>
      <c r="H2139" s="8"/>
      <c r="I2139" s="9"/>
      <c r="J2139" s="9"/>
      <c r="K2139" s="18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4.25" customHeight="1">
      <c r="A2140" s="7"/>
      <c r="B2140" s="8"/>
      <c r="C2140" s="8"/>
      <c r="D2140" s="8"/>
      <c r="E2140" s="8"/>
      <c r="F2140" s="8"/>
      <c r="G2140" s="8"/>
      <c r="H2140" s="8"/>
      <c r="I2140" s="9"/>
      <c r="J2140" s="9"/>
      <c r="K2140" s="18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customHeight="1">
      <c r="A2141" s="7"/>
      <c r="B2141" s="8"/>
      <c r="C2141" s="8"/>
      <c r="D2141" s="8"/>
      <c r="E2141" s="8"/>
      <c r="F2141" s="8"/>
      <c r="G2141" s="8"/>
      <c r="H2141" s="8"/>
      <c r="I2141" s="9"/>
      <c r="J2141" s="9"/>
      <c r="K2141" s="18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customHeight="1">
      <c r="A2142" s="7"/>
      <c r="B2142" s="8"/>
      <c r="C2142" s="8"/>
      <c r="D2142" s="8"/>
      <c r="E2142" s="8"/>
      <c r="F2142" s="8"/>
      <c r="G2142" s="8"/>
      <c r="H2142" s="8"/>
      <c r="I2142" s="9"/>
      <c r="J2142" s="9"/>
      <c r="K2142" s="18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customHeight="1">
      <c r="A2143" s="7"/>
      <c r="B2143" s="8"/>
      <c r="C2143" s="8"/>
      <c r="D2143" s="8"/>
      <c r="E2143" s="8"/>
      <c r="F2143" s="8"/>
      <c r="G2143" s="8"/>
      <c r="H2143" s="8"/>
      <c r="I2143" s="9"/>
      <c r="J2143" s="9"/>
      <c r="K2143" s="18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customHeight="1">
      <c r="A2144" s="7"/>
      <c r="B2144" s="8"/>
      <c r="C2144" s="8"/>
      <c r="D2144" s="8"/>
      <c r="E2144" s="8"/>
      <c r="F2144" s="8"/>
      <c r="G2144" s="8"/>
      <c r="H2144" s="8"/>
      <c r="I2144" s="9"/>
      <c r="J2144" s="9"/>
      <c r="K2144" s="18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customHeight="1">
      <c r="A2145" s="7"/>
      <c r="B2145" s="8"/>
      <c r="C2145" s="8"/>
      <c r="D2145" s="8"/>
      <c r="E2145" s="8"/>
      <c r="F2145" s="8"/>
      <c r="G2145" s="8"/>
      <c r="H2145" s="8"/>
      <c r="I2145" s="9"/>
      <c r="J2145" s="9"/>
      <c r="K2145" s="18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customHeight="1">
      <c r="A2146" s="7"/>
      <c r="B2146" s="8"/>
      <c r="C2146" s="8"/>
      <c r="D2146" s="8"/>
      <c r="E2146" s="8"/>
      <c r="F2146" s="8"/>
      <c r="G2146" s="8"/>
      <c r="H2146" s="8"/>
      <c r="I2146" s="9"/>
      <c r="J2146" s="9"/>
      <c r="K2146" s="18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4.25" customHeight="1">
      <c r="A2147" s="7"/>
      <c r="B2147" s="8"/>
      <c r="C2147" s="8"/>
      <c r="D2147" s="8"/>
      <c r="E2147" s="8"/>
      <c r="F2147" s="8"/>
      <c r="G2147" s="8"/>
      <c r="H2147" s="8"/>
      <c r="I2147" s="9"/>
      <c r="J2147" s="9"/>
      <c r="K2147" s="18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customHeight="1">
      <c r="A2148" s="7"/>
      <c r="B2148" s="8"/>
      <c r="C2148" s="8"/>
      <c r="D2148" s="8"/>
      <c r="E2148" s="8"/>
      <c r="F2148" s="8"/>
      <c r="G2148" s="8"/>
      <c r="H2148" s="8"/>
      <c r="I2148" s="9"/>
      <c r="J2148" s="9"/>
      <c r="K2148" s="18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customHeight="1">
      <c r="A2149" s="7"/>
      <c r="B2149" s="8"/>
      <c r="C2149" s="8"/>
      <c r="D2149" s="8"/>
      <c r="E2149" s="8"/>
      <c r="F2149" s="8"/>
      <c r="G2149" s="8"/>
      <c r="H2149" s="8"/>
      <c r="I2149" s="9"/>
      <c r="J2149" s="9"/>
      <c r="K2149" s="18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customHeight="1">
      <c r="A2150" s="7"/>
      <c r="B2150" s="8"/>
      <c r="C2150" s="8"/>
      <c r="D2150" s="8"/>
      <c r="E2150" s="8"/>
      <c r="F2150" s="8"/>
      <c r="G2150" s="8"/>
      <c r="H2150" s="8"/>
      <c r="I2150" s="9"/>
      <c r="J2150" s="9"/>
      <c r="K2150" s="18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customHeight="1">
      <c r="A2151" s="7"/>
      <c r="B2151" s="8"/>
      <c r="C2151" s="8"/>
      <c r="D2151" s="8"/>
      <c r="E2151" s="8"/>
      <c r="F2151" s="8"/>
      <c r="G2151" s="8"/>
      <c r="H2151" s="8"/>
      <c r="I2151" s="9"/>
      <c r="J2151" s="9"/>
      <c r="K2151" s="18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customHeight="1">
      <c r="A2152" s="7"/>
      <c r="B2152" s="8"/>
      <c r="C2152" s="8"/>
      <c r="D2152" s="8"/>
      <c r="E2152" s="8"/>
      <c r="F2152" s="8"/>
      <c r="G2152" s="8"/>
      <c r="H2152" s="8"/>
      <c r="I2152" s="9"/>
      <c r="J2152" s="9"/>
      <c r="K2152" s="18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customHeight="1">
      <c r="A2153" s="7"/>
      <c r="B2153" s="8"/>
      <c r="C2153" s="8"/>
      <c r="D2153" s="8"/>
      <c r="E2153" s="8"/>
      <c r="F2153" s="8"/>
      <c r="G2153" s="8"/>
      <c r="H2153" s="8"/>
      <c r="I2153" s="9"/>
      <c r="J2153" s="9"/>
      <c r="K2153" s="18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4.25" customHeight="1">
      <c r="A2154" s="7"/>
      <c r="B2154" s="8"/>
      <c r="C2154" s="8"/>
      <c r="D2154" s="8"/>
      <c r="E2154" s="8"/>
      <c r="F2154" s="8"/>
      <c r="G2154" s="8"/>
      <c r="H2154" s="8"/>
      <c r="I2154" s="9"/>
      <c r="J2154" s="9"/>
      <c r="K2154" s="18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customHeight="1">
      <c r="A2155" s="7"/>
      <c r="B2155" s="8"/>
      <c r="C2155" s="8"/>
      <c r="D2155" s="8"/>
      <c r="E2155" s="8"/>
      <c r="F2155" s="8"/>
      <c r="G2155" s="8"/>
      <c r="H2155" s="8"/>
      <c r="I2155" s="9"/>
      <c r="J2155" s="9"/>
      <c r="K2155" s="18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4.25" customHeight="1">
      <c r="A2156" s="7"/>
      <c r="B2156" s="8"/>
      <c r="C2156" s="8"/>
      <c r="D2156" s="8"/>
      <c r="E2156" s="8"/>
      <c r="F2156" s="8"/>
      <c r="G2156" s="8"/>
      <c r="H2156" s="8"/>
      <c r="I2156" s="9"/>
      <c r="J2156" s="9"/>
      <c r="K2156" s="18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customHeight="1">
      <c r="A2157" s="7"/>
      <c r="B2157" s="8"/>
      <c r="C2157" s="8"/>
      <c r="D2157" s="8"/>
      <c r="E2157" s="8"/>
      <c r="F2157" s="8"/>
      <c r="G2157" s="8"/>
      <c r="H2157" s="8"/>
      <c r="I2157" s="9"/>
      <c r="J2157" s="9"/>
      <c r="K2157" s="18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customHeight="1">
      <c r="A2158" s="7"/>
      <c r="B2158" s="8"/>
      <c r="C2158" s="8"/>
      <c r="D2158" s="8"/>
      <c r="E2158" s="8"/>
      <c r="F2158" s="8"/>
      <c r="G2158" s="8"/>
      <c r="H2158" s="8"/>
      <c r="I2158" s="9"/>
      <c r="J2158" s="9"/>
      <c r="K2158" s="18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customHeight="1">
      <c r="A2159" s="7"/>
      <c r="B2159" s="8"/>
      <c r="C2159" s="8"/>
      <c r="D2159" s="8"/>
      <c r="E2159" s="8"/>
      <c r="F2159" s="8"/>
      <c r="G2159" s="8"/>
      <c r="H2159" s="8"/>
      <c r="I2159" s="9"/>
      <c r="J2159" s="9"/>
      <c r="K2159" s="18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customHeight="1">
      <c r="A2160" s="7"/>
      <c r="B2160" s="8"/>
      <c r="C2160" s="8"/>
      <c r="D2160" s="8"/>
      <c r="E2160" s="8"/>
      <c r="F2160" s="8"/>
      <c r="G2160" s="8"/>
      <c r="H2160" s="8"/>
      <c r="I2160" s="9"/>
      <c r="J2160" s="9"/>
      <c r="K2160" s="18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customHeight="1">
      <c r="A2161" s="7"/>
      <c r="B2161" s="8"/>
      <c r="C2161" s="8"/>
      <c r="D2161" s="8"/>
      <c r="E2161" s="8"/>
      <c r="F2161" s="8"/>
      <c r="G2161" s="8"/>
      <c r="H2161" s="8"/>
      <c r="I2161" s="9"/>
      <c r="J2161" s="9"/>
      <c r="K2161" s="18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4.25" customHeight="1">
      <c r="A2162" s="7"/>
      <c r="B2162" s="8"/>
      <c r="C2162" s="8"/>
      <c r="D2162" s="8"/>
      <c r="E2162" s="8"/>
      <c r="F2162" s="8"/>
      <c r="G2162" s="8"/>
      <c r="H2162" s="8"/>
      <c r="I2162" s="9"/>
      <c r="J2162" s="9"/>
      <c r="K2162" s="18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customHeight="1">
      <c r="A2163" s="7"/>
      <c r="B2163" s="8"/>
      <c r="C2163" s="8"/>
      <c r="D2163" s="8"/>
      <c r="E2163" s="8"/>
      <c r="F2163" s="8"/>
      <c r="G2163" s="8"/>
      <c r="H2163" s="8"/>
      <c r="I2163" s="9"/>
      <c r="J2163" s="9"/>
      <c r="K2163" s="18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customHeight="1">
      <c r="A2164" s="7"/>
      <c r="B2164" s="8"/>
      <c r="C2164" s="8"/>
      <c r="D2164" s="8"/>
      <c r="E2164" s="8"/>
      <c r="F2164" s="8"/>
      <c r="G2164" s="8"/>
      <c r="H2164" s="8"/>
      <c r="I2164" s="9"/>
      <c r="J2164" s="9"/>
      <c r="K2164" s="18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customHeight="1">
      <c r="A2165" s="7"/>
      <c r="B2165" s="8"/>
      <c r="C2165" s="8"/>
      <c r="D2165" s="8"/>
      <c r="E2165" s="8"/>
      <c r="F2165" s="8"/>
      <c r="G2165" s="8"/>
      <c r="H2165" s="8"/>
      <c r="I2165" s="9"/>
      <c r="J2165" s="9"/>
      <c r="K2165" s="18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customHeight="1">
      <c r="A2166" s="7"/>
      <c r="B2166" s="8"/>
      <c r="C2166" s="8"/>
      <c r="D2166" s="8"/>
      <c r="E2166" s="8"/>
      <c r="F2166" s="8"/>
      <c r="G2166" s="8"/>
      <c r="H2166" s="8"/>
      <c r="I2166" s="9"/>
      <c r="J2166" s="9"/>
      <c r="K2166" s="18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customHeight="1">
      <c r="A2167" s="7"/>
      <c r="B2167" s="8"/>
      <c r="C2167" s="8"/>
      <c r="D2167" s="8"/>
      <c r="E2167" s="8"/>
      <c r="F2167" s="8"/>
      <c r="G2167" s="8"/>
      <c r="H2167" s="8"/>
      <c r="I2167" s="9"/>
      <c r="J2167" s="9"/>
      <c r="K2167" s="18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4.25" customHeight="1">
      <c r="A2168" s="7"/>
      <c r="B2168" s="8"/>
      <c r="C2168" s="8"/>
      <c r="D2168" s="8"/>
      <c r="E2168" s="8"/>
      <c r="F2168" s="8"/>
      <c r="G2168" s="8"/>
      <c r="H2168" s="8"/>
      <c r="I2168" s="9"/>
      <c r="J2168" s="9"/>
      <c r="K2168" s="18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customHeight="1">
      <c r="A2169" s="7"/>
      <c r="B2169" s="8"/>
      <c r="C2169" s="8"/>
      <c r="D2169" s="8"/>
      <c r="E2169" s="8"/>
      <c r="F2169" s="8"/>
      <c r="G2169" s="8"/>
      <c r="H2169" s="8"/>
      <c r="I2169" s="9"/>
      <c r="J2169" s="9"/>
      <c r="K2169" s="18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customHeight="1">
      <c r="A2170" s="7"/>
      <c r="B2170" s="8"/>
      <c r="C2170" s="8"/>
      <c r="D2170" s="8"/>
      <c r="E2170" s="8"/>
      <c r="F2170" s="8"/>
      <c r="G2170" s="8"/>
      <c r="H2170" s="8"/>
      <c r="I2170" s="9"/>
      <c r="J2170" s="9"/>
      <c r="K2170" s="18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customHeight="1">
      <c r="A2171" s="7"/>
      <c r="B2171" s="8"/>
      <c r="C2171" s="8"/>
      <c r="D2171" s="8"/>
      <c r="E2171" s="8"/>
      <c r="F2171" s="8"/>
      <c r="G2171" s="8"/>
      <c r="H2171" s="8"/>
      <c r="I2171" s="9"/>
      <c r="J2171" s="9"/>
      <c r="K2171" s="18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customHeight="1">
      <c r="A2172" s="7"/>
      <c r="B2172" s="8"/>
      <c r="C2172" s="8"/>
      <c r="D2172" s="8"/>
      <c r="E2172" s="8"/>
      <c r="F2172" s="8"/>
      <c r="G2172" s="8"/>
      <c r="H2172" s="8"/>
      <c r="I2172" s="9"/>
      <c r="J2172" s="9"/>
      <c r="K2172" s="18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4.25" customHeight="1">
      <c r="A2173" s="7"/>
      <c r="B2173" s="8"/>
      <c r="C2173" s="8"/>
      <c r="D2173" s="8"/>
      <c r="E2173" s="8"/>
      <c r="F2173" s="8"/>
      <c r="G2173" s="8"/>
      <c r="H2173" s="8"/>
      <c r="I2173" s="9"/>
      <c r="J2173" s="9"/>
      <c r="K2173" s="18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customHeight="1">
      <c r="A2174" s="7"/>
      <c r="B2174" s="8"/>
      <c r="C2174" s="8"/>
      <c r="D2174" s="8"/>
      <c r="E2174" s="8"/>
      <c r="F2174" s="8"/>
      <c r="G2174" s="8"/>
      <c r="H2174" s="8"/>
      <c r="I2174" s="9"/>
      <c r="J2174" s="9"/>
      <c r="K2174" s="18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4.25" customHeight="1">
      <c r="A2175" s="7"/>
      <c r="B2175" s="8"/>
      <c r="C2175" s="8"/>
      <c r="D2175" s="8"/>
      <c r="E2175" s="8"/>
      <c r="F2175" s="8"/>
      <c r="G2175" s="8"/>
      <c r="H2175" s="8"/>
      <c r="I2175" s="9"/>
      <c r="J2175" s="9"/>
      <c r="K2175" s="18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customHeight="1">
      <c r="A2176" s="7"/>
      <c r="B2176" s="8"/>
      <c r="C2176" s="8"/>
      <c r="D2176" s="8"/>
      <c r="E2176" s="8"/>
      <c r="F2176" s="8"/>
      <c r="G2176" s="8"/>
      <c r="H2176" s="8"/>
      <c r="I2176" s="9"/>
      <c r="J2176" s="9"/>
      <c r="K2176" s="18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customHeight="1">
      <c r="A2177" s="7"/>
      <c r="B2177" s="8"/>
      <c r="C2177" s="8"/>
      <c r="D2177" s="8"/>
      <c r="E2177" s="8"/>
      <c r="F2177" s="8"/>
      <c r="G2177" s="8"/>
      <c r="H2177" s="8"/>
      <c r="I2177" s="9"/>
      <c r="J2177" s="9"/>
      <c r="K2177" s="18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4.25" customHeight="1">
      <c r="A2178" s="7"/>
      <c r="B2178" s="8"/>
      <c r="C2178" s="8"/>
      <c r="D2178" s="8"/>
      <c r="E2178" s="8"/>
      <c r="F2178" s="8"/>
      <c r="G2178" s="8"/>
      <c r="H2178" s="8"/>
      <c r="I2178" s="9"/>
      <c r="J2178" s="9"/>
      <c r="K2178" s="18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customHeight="1">
      <c r="A2179" s="7"/>
      <c r="B2179" s="8"/>
      <c r="C2179" s="8"/>
      <c r="D2179" s="8"/>
      <c r="E2179" s="8"/>
      <c r="F2179" s="8"/>
      <c r="G2179" s="8"/>
      <c r="H2179" s="8"/>
      <c r="I2179" s="9"/>
      <c r="J2179" s="9"/>
      <c r="K2179" s="18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customHeight="1">
      <c r="A2180" s="7"/>
      <c r="B2180" s="8"/>
      <c r="C2180" s="8"/>
      <c r="D2180" s="8"/>
      <c r="E2180" s="8"/>
      <c r="F2180" s="8"/>
      <c r="G2180" s="8"/>
      <c r="H2180" s="8"/>
      <c r="I2180" s="9"/>
      <c r="J2180" s="9"/>
      <c r="K2180" s="18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customHeight="1">
      <c r="A2181" s="7"/>
      <c r="B2181" s="8"/>
      <c r="C2181" s="8"/>
      <c r="D2181" s="8"/>
      <c r="E2181" s="8"/>
      <c r="F2181" s="8"/>
      <c r="G2181" s="8"/>
      <c r="H2181" s="8"/>
      <c r="I2181" s="9"/>
      <c r="J2181" s="9"/>
      <c r="K2181" s="18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customHeight="1">
      <c r="A2182" s="7"/>
      <c r="B2182" s="8"/>
      <c r="C2182" s="8"/>
      <c r="D2182" s="8"/>
      <c r="E2182" s="8"/>
      <c r="F2182" s="8"/>
      <c r="G2182" s="8"/>
      <c r="H2182" s="8"/>
      <c r="I2182" s="9"/>
      <c r="J2182" s="9"/>
      <c r="K2182" s="18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customHeight="1">
      <c r="A2183" s="7"/>
      <c r="B2183" s="8"/>
      <c r="C2183" s="8"/>
      <c r="D2183" s="8"/>
      <c r="E2183" s="8"/>
      <c r="F2183" s="8"/>
      <c r="G2183" s="8"/>
      <c r="H2183" s="8"/>
      <c r="I2183" s="9"/>
      <c r="J2183" s="9"/>
      <c r="K2183" s="18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customHeight="1">
      <c r="A2184" s="7"/>
      <c r="B2184" s="8"/>
      <c r="C2184" s="8"/>
      <c r="D2184" s="8"/>
      <c r="E2184" s="8"/>
      <c r="F2184" s="8"/>
      <c r="G2184" s="8"/>
      <c r="H2184" s="8"/>
      <c r="I2184" s="9"/>
      <c r="J2184" s="9"/>
      <c r="K2184" s="18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4.25" customHeight="1">
      <c r="A2185" s="7"/>
      <c r="B2185" s="8"/>
      <c r="C2185" s="8"/>
      <c r="D2185" s="8"/>
      <c r="E2185" s="8"/>
      <c r="F2185" s="8"/>
      <c r="G2185" s="8"/>
      <c r="H2185" s="8"/>
      <c r="I2185" s="9"/>
      <c r="J2185" s="9"/>
      <c r="K2185" s="18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customHeight="1">
      <c r="A2186" s="7"/>
      <c r="B2186" s="8"/>
      <c r="C2186" s="8"/>
      <c r="D2186" s="8"/>
      <c r="E2186" s="8"/>
      <c r="F2186" s="8"/>
      <c r="G2186" s="8"/>
      <c r="H2186" s="8"/>
      <c r="I2186" s="9"/>
      <c r="J2186" s="9"/>
      <c r="K2186" s="18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customHeight="1">
      <c r="A2187" s="7"/>
      <c r="B2187" s="8"/>
      <c r="C2187" s="8"/>
      <c r="D2187" s="8"/>
      <c r="E2187" s="8"/>
      <c r="F2187" s="8"/>
      <c r="G2187" s="8"/>
      <c r="H2187" s="8"/>
      <c r="I2187" s="9"/>
      <c r="J2187" s="9"/>
      <c r="K2187" s="18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customHeight="1">
      <c r="A2188" s="7"/>
      <c r="B2188" s="8"/>
      <c r="C2188" s="8"/>
      <c r="D2188" s="8"/>
      <c r="E2188" s="8"/>
      <c r="F2188" s="8"/>
      <c r="G2188" s="8"/>
      <c r="H2188" s="8"/>
      <c r="I2188" s="9"/>
      <c r="J2188" s="9"/>
      <c r="K2188" s="18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4.25" customHeight="1">
      <c r="A2189" s="7"/>
      <c r="B2189" s="8"/>
      <c r="C2189" s="8"/>
      <c r="D2189" s="8"/>
      <c r="E2189" s="8"/>
      <c r="F2189" s="8"/>
      <c r="G2189" s="8"/>
      <c r="H2189" s="8"/>
      <c r="I2189" s="9"/>
      <c r="J2189" s="9"/>
      <c r="K2189" s="18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customHeight="1">
      <c r="A2190" s="7"/>
      <c r="B2190" s="8"/>
      <c r="C2190" s="8"/>
      <c r="D2190" s="8"/>
      <c r="E2190" s="8"/>
      <c r="F2190" s="8"/>
      <c r="G2190" s="8"/>
      <c r="H2190" s="8"/>
      <c r="I2190" s="9"/>
      <c r="J2190" s="9"/>
      <c r="K2190" s="18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customHeight="1">
      <c r="A2191" s="7"/>
      <c r="B2191" s="8"/>
      <c r="C2191" s="8"/>
      <c r="D2191" s="8"/>
      <c r="E2191" s="8"/>
      <c r="F2191" s="8"/>
      <c r="G2191" s="8"/>
      <c r="H2191" s="8"/>
      <c r="I2191" s="9"/>
      <c r="J2191" s="9"/>
      <c r="K2191" s="18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customHeight="1">
      <c r="A2192" s="7"/>
      <c r="B2192" s="8"/>
      <c r="C2192" s="8"/>
      <c r="D2192" s="8"/>
      <c r="E2192" s="8"/>
      <c r="F2192" s="8"/>
      <c r="G2192" s="8"/>
      <c r="H2192" s="8"/>
      <c r="I2192" s="9"/>
      <c r="J2192" s="9"/>
      <c r="K2192" s="18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customHeight="1">
      <c r="A2193" s="7"/>
      <c r="B2193" s="8"/>
      <c r="C2193" s="8"/>
      <c r="D2193" s="8"/>
      <c r="E2193" s="8"/>
      <c r="F2193" s="8"/>
      <c r="G2193" s="8"/>
      <c r="H2193" s="8"/>
      <c r="I2193" s="9"/>
      <c r="J2193" s="9"/>
      <c r="K2193" s="18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customHeight="1">
      <c r="A2194" s="7"/>
      <c r="B2194" s="8"/>
      <c r="C2194" s="8"/>
      <c r="D2194" s="8"/>
      <c r="E2194" s="8"/>
      <c r="F2194" s="8"/>
      <c r="G2194" s="8"/>
      <c r="H2194" s="8"/>
      <c r="I2194" s="9"/>
      <c r="J2194" s="9"/>
      <c r="K2194" s="18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customHeight="1">
      <c r="A2195" s="7"/>
      <c r="B2195" s="8"/>
      <c r="C2195" s="8"/>
      <c r="D2195" s="8"/>
      <c r="E2195" s="8"/>
      <c r="F2195" s="8"/>
      <c r="G2195" s="8"/>
      <c r="H2195" s="8"/>
      <c r="I2195" s="9"/>
      <c r="J2195" s="9"/>
      <c r="K2195" s="18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4.25" customHeight="1">
      <c r="A2196" s="7"/>
      <c r="B2196" s="8"/>
      <c r="C2196" s="8"/>
      <c r="D2196" s="8"/>
      <c r="E2196" s="8"/>
      <c r="F2196" s="8"/>
      <c r="G2196" s="8"/>
      <c r="H2196" s="8"/>
      <c r="I2196" s="9"/>
      <c r="J2196" s="9"/>
      <c r="K2196" s="18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customHeight="1">
      <c r="A2197" s="7"/>
      <c r="B2197" s="8"/>
      <c r="C2197" s="8"/>
      <c r="D2197" s="8"/>
      <c r="E2197" s="8"/>
      <c r="F2197" s="8"/>
      <c r="G2197" s="8"/>
      <c r="H2197" s="8"/>
      <c r="I2197" s="9"/>
      <c r="J2197" s="9"/>
      <c r="K2197" s="18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customHeight="1">
      <c r="A2198" s="7"/>
      <c r="B2198" s="8"/>
      <c r="C2198" s="8"/>
      <c r="D2198" s="8"/>
      <c r="E2198" s="8"/>
      <c r="F2198" s="8"/>
      <c r="G2198" s="8"/>
      <c r="H2198" s="8"/>
      <c r="I2198" s="9"/>
      <c r="J2198" s="9"/>
      <c r="K2198" s="18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customHeight="1">
      <c r="A2199" s="7"/>
      <c r="B2199" s="8"/>
      <c r="C2199" s="8"/>
      <c r="D2199" s="8"/>
      <c r="E2199" s="8"/>
      <c r="F2199" s="8"/>
      <c r="G2199" s="8"/>
      <c r="H2199" s="8"/>
      <c r="I2199" s="9"/>
      <c r="J2199" s="9"/>
      <c r="K2199" s="18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customHeight="1">
      <c r="A2200" s="7"/>
      <c r="B2200" s="8"/>
      <c r="C2200" s="8"/>
      <c r="D2200" s="8"/>
      <c r="E2200" s="8"/>
      <c r="F2200" s="8"/>
      <c r="G2200" s="8"/>
      <c r="H2200" s="8"/>
      <c r="I2200" s="9"/>
      <c r="J2200" s="9"/>
      <c r="K2200" s="18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customHeight="1">
      <c r="A2201" s="7"/>
      <c r="B2201" s="8"/>
      <c r="C2201" s="8"/>
      <c r="D2201" s="8"/>
      <c r="E2201" s="8"/>
      <c r="F2201" s="8"/>
      <c r="G2201" s="8"/>
      <c r="H2201" s="8"/>
      <c r="I2201" s="9"/>
      <c r="J2201" s="9"/>
      <c r="K2201" s="18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4.25" customHeight="1">
      <c r="A2202" s="7"/>
      <c r="B2202" s="8"/>
      <c r="C2202" s="8"/>
      <c r="D2202" s="8"/>
      <c r="E2202" s="8"/>
      <c r="F2202" s="8"/>
      <c r="G2202" s="8"/>
      <c r="H2202" s="8"/>
      <c r="I2202" s="9"/>
      <c r="J2202" s="9"/>
      <c r="K2202" s="18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customHeight="1">
      <c r="A2203" s="7"/>
      <c r="B2203" s="8"/>
      <c r="C2203" s="8"/>
      <c r="D2203" s="8"/>
      <c r="E2203" s="8"/>
      <c r="F2203" s="8"/>
      <c r="G2203" s="8"/>
      <c r="H2203" s="8"/>
      <c r="I2203" s="9"/>
      <c r="J2203" s="9"/>
      <c r="K2203" s="18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customHeight="1">
      <c r="A2204" s="7"/>
      <c r="B2204" s="8"/>
      <c r="C2204" s="8"/>
      <c r="D2204" s="8"/>
      <c r="E2204" s="8"/>
      <c r="F2204" s="8"/>
      <c r="G2204" s="8"/>
      <c r="H2204" s="8"/>
      <c r="I2204" s="9"/>
      <c r="J2204" s="9"/>
      <c r="K2204" s="18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customHeight="1">
      <c r="A2205" s="7"/>
      <c r="B2205" s="8"/>
      <c r="C2205" s="8"/>
      <c r="D2205" s="8"/>
      <c r="E2205" s="8"/>
      <c r="F2205" s="8"/>
      <c r="G2205" s="8"/>
      <c r="H2205" s="8"/>
      <c r="I2205" s="9"/>
      <c r="J2205" s="9"/>
      <c r="K2205" s="18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customHeight="1">
      <c r="A2206" s="7"/>
      <c r="B2206" s="8"/>
      <c r="C2206" s="8"/>
      <c r="D2206" s="8"/>
      <c r="E2206" s="8"/>
      <c r="F2206" s="8"/>
      <c r="G2206" s="8"/>
      <c r="H2206" s="8"/>
      <c r="I2206" s="9"/>
      <c r="J2206" s="9"/>
      <c r="K2206" s="18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customHeight="1">
      <c r="A2207" s="7"/>
      <c r="B2207" s="8"/>
      <c r="C2207" s="8"/>
      <c r="D2207" s="8"/>
      <c r="E2207" s="8"/>
      <c r="F2207" s="8"/>
      <c r="G2207" s="8"/>
      <c r="H2207" s="8"/>
      <c r="I2207" s="9"/>
      <c r="J2207" s="9"/>
      <c r="K2207" s="18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customHeight="1">
      <c r="A2208" s="7"/>
      <c r="B2208" s="8"/>
      <c r="C2208" s="8"/>
      <c r="D2208" s="8"/>
      <c r="E2208" s="8"/>
      <c r="F2208" s="8"/>
      <c r="G2208" s="8"/>
      <c r="H2208" s="8"/>
      <c r="I2208" s="9"/>
      <c r="J2208" s="9"/>
      <c r="K2208" s="18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4.25" customHeight="1">
      <c r="A2209" s="7"/>
      <c r="B2209" s="8"/>
      <c r="C2209" s="8"/>
      <c r="D2209" s="8"/>
      <c r="E2209" s="8"/>
      <c r="F2209" s="8"/>
      <c r="G2209" s="8"/>
      <c r="H2209" s="8"/>
      <c r="I2209" s="9"/>
      <c r="J2209" s="9"/>
      <c r="K2209" s="18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customHeight="1">
      <c r="A2210" s="7"/>
      <c r="B2210" s="8"/>
      <c r="C2210" s="8"/>
      <c r="D2210" s="8"/>
      <c r="E2210" s="8"/>
      <c r="F2210" s="8"/>
      <c r="G2210" s="8"/>
      <c r="H2210" s="8"/>
      <c r="I2210" s="9"/>
      <c r="J2210" s="9"/>
      <c r="K2210" s="18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customHeight="1">
      <c r="A2211" s="7"/>
      <c r="B2211" s="8"/>
      <c r="C2211" s="8"/>
      <c r="D2211" s="8"/>
      <c r="E2211" s="8"/>
      <c r="F2211" s="8"/>
      <c r="G2211" s="8"/>
      <c r="H2211" s="8"/>
      <c r="I2211" s="9"/>
      <c r="J2211" s="9"/>
      <c r="K2211" s="18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customHeight="1">
      <c r="A2212" s="7"/>
      <c r="B2212" s="8"/>
      <c r="C2212" s="8"/>
      <c r="D2212" s="8"/>
      <c r="E2212" s="8"/>
      <c r="F2212" s="8"/>
      <c r="G2212" s="8"/>
      <c r="H2212" s="8"/>
      <c r="I2212" s="9"/>
      <c r="J2212" s="9"/>
      <c r="K2212" s="18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customHeight="1">
      <c r="A2213" s="7"/>
      <c r="B2213" s="8"/>
      <c r="C2213" s="8"/>
      <c r="D2213" s="8"/>
      <c r="E2213" s="8"/>
      <c r="F2213" s="8"/>
      <c r="G2213" s="8"/>
      <c r="H2213" s="8"/>
      <c r="I2213" s="9"/>
      <c r="J2213" s="9"/>
      <c r="K2213" s="18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customHeight="1">
      <c r="A2214" s="7"/>
      <c r="B2214" s="8"/>
      <c r="C2214" s="8"/>
      <c r="D2214" s="8"/>
      <c r="E2214" s="8"/>
      <c r="F2214" s="8"/>
      <c r="G2214" s="8"/>
      <c r="H2214" s="8"/>
      <c r="I2214" s="9"/>
      <c r="J2214" s="9"/>
      <c r="K2214" s="18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customHeight="1">
      <c r="A2215" s="7"/>
      <c r="B2215" s="8"/>
      <c r="C2215" s="8"/>
      <c r="D2215" s="8"/>
      <c r="E2215" s="8"/>
      <c r="F2215" s="8"/>
      <c r="G2215" s="8"/>
      <c r="H2215" s="8"/>
      <c r="I2215" s="9"/>
      <c r="J2215" s="9"/>
      <c r="K2215" s="18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4.25" customHeight="1">
      <c r="A2216" s="7"/>
      <c r="B2216" s="8"/>
      <c r="C2216" s="8"/>
      <c r="D2216" s="8"/>
      <c r="E2216" s="8"/>
      <c r="F2216" s="8"/>
      <c r="G2216" s="8"/>
      <c r="H2216" s="8"/>
      <c r="I2216" s="9"/>
      <c r="J2216" s="9"/>
      <c r="K2216" s="18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customHeight="1">
      <c r="A2217" s="7"/>
      <c r="B2217" s="8"/>
      <c r="C2217" s="8"/>
      <c r="D2217" s="8"/>
      <c r="E2217" s="8"/>
      <c r="F2217" s="8"/>
      <c r="G2217" s="8"/>
      <c r="H2217" s="8"/>
      <c r="I2217" s="9"/>
      <c r="J2217" s="9"/>
      <c r="K2217" s="18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customHeight="1">
      <c r="A2218" s="7"/>
      <c r="B2218" s="8"/>
      <c r="C2218" s="8"/>
      <c r="D2218" s="8"/>
      <c r="E2218" s="8"/>
      <c r="F2218" s="8"/>
      <c r="G2218" s="8"/>
      <c r="H2218" s="8"/>
      <c r="I2218" s="9"/>
      <c r="J2218" s="9"/>
      <c r="K2218" s="18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customHeight="1">
      <c r="A2219" s="7"/>
      <c r="B2219" s="8"/>
      <c r="C2219" s="8"/>
      <c r="D2219" s="8"/>
      <c r="E2219" s="8"/>
      <c r="F2219" s="8"/>
      <c r="G2219" s="8"/>
      <c r="H2219" s="8"/>
      <c r="I2219" s="9"/>
      <c r="J2219" s="9"/>
      <c r="K2219" s="18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4.25" customHeight="1">
      <c r="A2220" s="7"/>
      <c r="B2220" s="8"/>
      <c r="C2220" s="8"/>
      <c r="D2220" s="8"/>
      <c r="E2220" s="8"/>
      <c r="F2220" s="8"/>
      <c r="G2220" s="8"/>
      <c r="H2220" s="8"/>
      <c r="I2220" s="9"/>
      <c r="J2220" s="9"/>
      <c r="K2220" s="18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customHeight="1">
      <c r="A2221" s="7"/>
      <c r="B2221" s="8"/>
      <c r="C2221" s="8"/>
      <c r="D2221" s="8"/>
      <c r="E2221" s="8"/>
      <c r="F2221" s="8"/>
      <c r="G2221" s="8"/>
      <c r="H2221" s="8"/>
      <c r="I2221" s="9"/>
      <c r="J2221" s="9"/>
      <c r="K2221" s="18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4.25" customHeight="1">
      <c r="A2222" s="7"/>
      <c r="B2222" s="8"/>
      <c r="C2222" s="8"/>
      <c r="D2222" s="8"/>
      <c r="E2222" s="8"/>
      <c r="F2222" s="8"/>
      <c r="G2222" s="8"/>
      <c r="H2222" s="8"/>
      <c r="I2222" s="9"/>
      <c r="J2222" s="9"/>
      <c r="K2222" s="18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customHeight="1">
      <c r="A2223" s="7"/>
      <c r="B2223" s="8"/>
      <c r="C2223" s="8"/>
      <c r="D2223" s="8"/>
      <c r="E2223" s="8"/>
      <c r="F2223" s="8"/>
      <c r="G2223" s="8"/>
      <c r="H2223" s="8"/>
      <c r="I2223" s="9"/>
      <c r="J2223" s="9"/>
      <c r="K2223" s="18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customHeight="1">
      <c r="A2224" s="7"/>
      <c r="B2224" s="8"/>
      <c r="C2224" s="8"/>
      <c r="D2224" s="8"/>
      <c r="E2224" s="8"/>
      <c r="F2224" s="8"/>
      <c r="G2224" s="8"/>
      <c r="H2224" s="8"/>
      <c r="I2224" s="9"/>
      <c r="J2224" s="9"/>
      <c r="K2224" s="18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customHeight="1">
      <c r="A2225" s="7"/>
      <c r="B2225" s="8"/>
      <c r="C2225" s="8"/>
      <c r="D2225" s="8"/>
      <c r="E2225" s="8"/>
      <c r="F2225" s="8"/>
      <c r="G2225" s="8"/>
      <c r="H2225" s="8"/>
      <c r="I2225" s="9"/>
      <c r="J2225" s="9"/>
      <c r="K2225" s="18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customHeight="1">
      <c r="A2226" s="7"/>
      <c r="B2226" s="8"/>
      <c r="C2226" s="8"/>
      <c r="D2226" s="8"/>
      <c r="E2226" s="8"/>
      <c r="F2226" s="8"/>
      <c r="G2226" s="8"/>
      <c r="H2226" s="8"/>
      <c r="I2226" s="9"/>
      <c r="J2226" s="9"/>
      <c r="K2226" s="18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customHeight="1">
      <c r="A2227" s="7"/>
      <c r="B2227" s="8"/>
      <c r="C2227" s="8"/>
      <c r="D2227" s="8"/>
      <c r="E2227" s="8"/>
      <c r="F2227" s="8"/>
      <c r="G2227" s="8"/>
      <c r="H2227" s="8"/>
      <c r="I2227" s="9"/>
      <c r="J2227" s="9"/>
      <c r="K2227" s="18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4.25" customHeight="1">
      <c r="A2228" s="7"/>
      <c r="B2228" s="8"/>
      <c r="C2228" s="8"/>
      <c r="D2228" s="8"/>
      <c r="E2228" s="8"/>
      <c r="F2228" s="8"/>
      <c r="G2228" s="8"/>
      <c r="H2228" s="8"/>
      <c r="I2228" s="9"/>
      <c r="J2228" s="9"/>
      <c r="K2228" s="18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customHeight="1">
      <c r="A2229" s="7"/>
      <c r="B2229" s="8"/>
      <c r="C2229" s="8"/>
      <c r="D2229" s="8"/>
      <c r="E2229" s="8"/>
      <c r="F2229" s="8"/>
      <c r="G2229" s="8"/>
      <c r="H2229" s="8"/>
      <c r="I2229" s="9"/>
      <c r="J2229" s="9"/>
      <c r="K2229" s="18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customHeight="1">
      <c r="A2230" s="7"/>
      <c r="B2230" s="8"/>
      <c r="C2230" s="8"/>
      <c r="D2230" s="8"/>
      <c r="E2230" s="8"/>
      <c r="F2230" s="8"/>
      <c r="G2230" s="8"/>
      <c r="H2230" s="8"/>
      <c r="I2230" s="9"/>
      <c r="J2230" s="9"/>
      <c r="K2230" s="18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customHeight="1">
      <c r="A2231" s="7"/>
      <c r="B2231" s="8"/>
      <c r="C2231" s="8"/>
      <c r="D2231" s="8"/>
      <c r="E2231" s="8"/>
      <c r="F2231" s="8"/>
      <c r="G2231" s="8"/>
      <c r="H2231" s="8"/>
      <c r="I2231" s="9"/>
      <c r="J2231" s="9"/>
      <c r="K2231" s="18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customHeight="1">
      <c r="A2232" s="7"/>
      <c r="B2232" s="8"/>
      <c r="C2232" s="8"/>
      <c r="D2232" s="8"/>
      <c r="E2232" s="8"/>
      <c r="F2232" s="8"/>
      <c r="G2232" s="8"/>
      <c r="H2232" s="8"/>
      <c r="I2232" s="9"/>
      <c r="J2232" s="9"/>
      <c r="K2232" s="18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customHeight="1">
      <c r="A2233" s="7"/>
      <c r="B2233" s="8"/>
      <c r="C2233" s="8"/>
      <c r="D2233" s="8"/>
      <c r="E2233" s="8"/>
      <c r="F2233" s="8"/>
      <c r="G2233" s="8"/>
      <c r="H2233" s="8"/>
      <c r="I2233" s="9"/>
      <c r="J2233" s="9"/>
      <c r="K2233" s="18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4.25" customHeight="1">
      <c r="A2234" s="7"/>
      <c r="B2234" s="8"/>
      <c r="C2234" s="8"/>
      <c r="D2234" s="8"/>
      <c r="E2234" s="8"/>
      <c r="F2234" s="8"/>
      <c r="G2234" s="8"/>
      <c r="H2234" s="8"/>
      <c r="I2234" s="9"/>
      <c r="J2234" s="9"/>
      <c r="K2234" s="18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customHeight="1">
      <c r="A2235" s="7"/>
      <c r="B2235" s="8"/>
      <c r="C2235" s="8"/>
      <c r="D2235" s="8"/>
      <c r="E2235" s="8"/>
      <c r="F2235" s="8"/>
      <c r="G2235" s="8"/>
      <c r="H2235" s="8"/>
      <c r="I2235" s="9"/>
      <c r="J2235" s="9"/>
      <c r="K2235" s="18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4.25" customHeight="1">
      <c r="A2236" s="7"/>
      <c r="B2236" s="8"/>
      <c r="C2236" s="8"/>
      <c r="D2236" s="8"/>
      <c r="E2236" s="8"/>
      <c r="F2236" s="8"/>
      <c r="G2236" s="8"/>
      <c r="H2236" s="8"/>
      <c r="I2236" s="9"/>
      <c r="J2236" s="9"/>
      <c r="K2236" s="18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customHeight="1">
      <c r="A2237" s="7"/>
      <c r="B2237" s="8"/>
      <c r="C2237" s="8"/>
      <c r="D2237" s="8"/>
      <c r="E2237" s="8"/>
      <c r="F2237" s="8"/>
      <c r="G2237" s="8"/>
      <c r="H2237" s="8"/>
      <c r="I2237" s="9"/>
      <c r="J2237" s="9"/>
      <c r="K2237" s="18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customHeight="1">
      <c r="A2238" s="7"/>
      <c r="B2238" s="8"/>
      <c r="C2238" s="8"/>
      <c r="D2238" s="8"/>
      <c r="E2238" s="8"/>
      <c r="F2238" s="8"/>
      <c r="G2238" s="8"/>
      <c r="H2238" s="8"/>
      <c r="I2238" s="9"/>
      <c r="J2238" s="9"/>
      <c r="K2238" s="18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customHeight="1">
      <c r="A2239" s="7"/>
      <c r="B2239" s="8"/>
      <c r="C2239" s="8"/>
      <c r="D2239" s="8"/>
      <c r="E2239" s="8"/>
      <c r="F2239" s="8"/>
      <c r="G2239" s="8"/>
      <c r="H2239" s="8"/>
      <c r="I2239" s="9"/>
      <c r="J2239" s="9"/>
      <c r="K2239" s="18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customHeight="1">
      <c r="A2240" s="7"/>
      <c r="B2240" s="8"/>
      <c r="C2240" s="8"/>
      <c r="D2240" s="8"/>
      <c r="E2240" s="8"/>
      <c r="F2240" s="8"/>
      <c r="G2240" s="8"/>
      <c r="H2240" s="8"/>
      <c r="I2240" s="9"/>
      <c r="J2240" s="9"/>
      <c r="K2240" s="18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customHeight="1">
      <c r="A2241" s="7"/>
      <c r="B2241" s="8"/>
      <c r="C2241" s="8"/>
      <c r="D2241" s="8"/>
      <c r="E2241" s="8"/>
      <c r="F2241" s="8"/>
      <c r="G2241" s="8"/>
      <c r="H2241" s="8"/>
      <c r="I2241" s="9"/>
      <c r="J2241" s="9"/>
      <c r="K2241" s="18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customHeight="1">
      <c r="A2242" s="7"/>
      <c r="B2242" s="8"/>
      <c r="C2242" s="8"/>
      <c r="D2242" s="8"/>
      <c r="E2242" s="8"/>
      <c r="F2242" s="8"/>
      <c r="G2242" s="8"/>
      <c r="H2242" s="8"/>
      <c r="I2242" s="9"/>
      <c r="J2242" s="9"/>
      <c r="K2242" s="18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4.25" customHeight="1">
      <c r="A2243" s="7"/>
      <c r="B2243" s="8"/>
      <c r="C2243" s="8"/>
      <c r="D2243" s="8"/>
      <c r="E2243" s="8"/>
      <c r="F2243" s="8"/>
      <c r="G2243" s="8"/>
      <c r="H2243" s="8"/>
      <c r="I2243" s="9"/>
      <c r="J2243" s="9"/>
      <c r="K2243" s="18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customHeight="1">
      <c r="A2244" s="7"/>
      <c r="B2244" s="8"/>
      <c r="C2244" s="8"/>
      <c r="D2244" s="8"/>
      <c r="E2244" s="8"/>
      <c r="F2244" s="8"/>
      <c r="G2244" s="8"/>
      <c r="H2244" s="8"/>
      <c r="I2244" s="9"/>
      <c r="J2244" s="9"/>
      <c r="K2244" s="18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customHeight="1">
      <c r="A2245" s="7"/>
      <c r="B2245" s="8"/>
      <c r="C2245" s="8"/>
      <c r="D2245" s="8"/>
      <c r="E2245" s="8"/>
      <c r="F2245" s="8"/>
      <c r="G2245" s="8"/>
      <c r="H2245" s="8"/>
      <c r="I2245" s="9"/>
      <c r="J2245" s="9"/>
      <c r="K2245" s="18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4.25" customHeight="1">
      <c r="A2246" s="7"/>
      <c r="B2246" s="8"/>
      <c r="C2246" s="8"/>
      <c r="D2246" s="8"/>
      <c r="E2246" s="8"/>
      <c r="F2246" s="8"/>
      <c r="G2246" s="8"/>
      <c r="H2246" s="8"/>
      <c r="I2246" s="9"/>
      <c r="J2246" s="9"/>
      <c r="K2246" s="18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customHeight="1">
      <c r="A2247" s="7"/>
      <c r="B2247" s="8"/>
      <c r="C2247" s="8"/>
      <c r="D2247" s="8"/>
      <c r="E2247" s="8"/>
      <c r="F2247" s="8"/>
      <c r="G2247" s="8"/>
      <c r="H2247" s="8"/>
      <c r="I2247" s="9"/>
      <c r="J2247" s="9"/>
      <c r="K2247" s="18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4.25" customHeight="1">
      <c r="A2248" s="7"/>
      <c r="B2248" s="8"/>
      <c r="C2248" s="8"/>
      <c r="D2248" s="8"/>
      <c r="E2248" s="8"/>
      <c r="F2248" s="8"/>
      <c r="G2248" s="8"/>
      <c r="H2248" s="8"/>
      <c r="I2248" s="9"/>
      <c r="J2248" s="9"/>
      <c r="K2248" s="18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</sheetData>
  <mergeCells count="1">
    <mergeCell ref="A1:J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" width="16.71"/>
    <col customWidth="1" min="3" max="3" width="22.71"/>
    <col customWidth="1" min="4" max="5" width="16.71"/>
    <col customWidth="1" min="6" max="6" width="26.29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tr">
        <f>IFERROR(__xludf.DUMMYFUNCTION("query('MENS PRO  AA'!A2:L758,""select A, B, C, D, E, F, G, H, I, J, K WHERE L = 2 ORDER BY A ASC"",1)"),"LAST")</f>
        <v>LAST</v>
      </c>
      <c r="B2" s="5" t="str">
        <f>IFERROR(__xludf.DUMMYFUNCTION("""COMPUTED_VALUE"""),"FIRST")</f>
        <v>FIRST</v>
      </c>
      <c r="C2" s="5" t="str">
        <f>IFERROR(__xludf.DUMMYFUNCTION("""COMPUTED_VALUE"""),"CITY")</f>
        <v>CITY</v>
      </c>
      <c r="D2" s="5" t="str">
        <f>IFERROR(__xludf.DUMMYFUNCTION("""COMPUTED_VALUE"""),"STATE")</f>
        <v>STATE</v>
      </c>
      <c r="E2" s="5" t="str">
        <f>IFERROR(__xludf.DUMMYFUNCTION("""COMPUTED_VALUE"""),"COUNTRY")</f>
        <v>COUNTRY</v>
      </c>
      <c r="F2" s="5" t="str">
        <f>IFERROR(__xludf.DUMMYFUNCTION("""COMPUTED_VALUE"""),"EVENT")</f>
        <v>EVENT</v>
      </c>
      <c r="G2" s="5" t="str">
        <f>IFERROR(__xludf.DUMMYFUNCTION("""COMPUTED_VALUE"""),"PLACE")</f>
        <v>PLACE</v>
      </c>
      <c r="H2" s="5" t="str">
        <f>IFERROR(__xludf.DUMMYFUNCTION("""COMPUTED_VALUE"""),"LOCATION")</f>
        <v>LOCATION</v>
      </c>
      <c r="I2" s="5" t="str">
        <f>IFERROR(__xludf.DUMMYFUNCTION("""COMPUTED_VALUE"""),"ON LIST")</f>
        <v>ON LIST</v>
      </c>
      <c r="J2" s="5" t="str">
        <f>IFERROR(__xludf.DUMMYFUNCTION("""COMPUTED_VALUE"""),"OFF AA LIST")</f>
        <v>OFF AA LIST</v>
      </c>
      <c r="K2" s="5" t="str">
        <f>IFERROR(__xludf.DUMMYFUNCTION("""COMPUTED_VALUE"""),"OFF PRO LIST")</f>
        <v>OFF PRO LIST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17" t="str">
        <f>IFERROR(__xludf.DUMMYFUNCTION("""COMPUTED_VALUE"""),"ADLFINGER")</f>
        <v>ADLFINGER</v>
      </c>
      <c r="B3" s="8" t="str">
        <f>IFERROR(__xludf.DUMMYFUNCTION("""COMPUTED_VALUE"""),"JACOB")</f>
        <v>JACOB</v>
      </c>
      <c r="C3" s="8" t="str">
        <f>IFERROR(__xludf.DUMMYFUNCTION("""COMPUTED_VALUE"""),"ROCK ISLAND")</f>
        <v>ROCK ISLAND</v>
      </c>
      <c r="D3" s="8" t="str">
        <f>IFERROR(__xludf.DUMMYFUNCTION("""COMPUTED_VALUE"""),"IL")</f>
        <v>IL</v>
      </c>
      <c r="E3" s="8" t="str">
        <f>IFERROR(__xludf.DUMMYFUNCTION("""COMPUTED_VALUE"""),"USA")</f>
        <v>USA</v>
      </c>
      <c r="F3" s="8" t="str">
        <f>IFERROR(__xludf.DUMMYFUNCTION("""COMPUTED_VALUE"""),"PRO 501 DBLS")</f>
        <v>PRO 501 DBLS</v>
      </c>
      <c r="G3" s="8" t="str">
        <f>IFERROR(__xludf.DUMMYFUNCTION("""COMPUTED_VALUE"""),"2")</f>
        <v>2</v>
      </c>
      <c r="H3" s="8" t="str">
        <f>IFERROR(__xludf.DUMMYFUNCTION("""COMPUTED_VALUE"""),"BS 37 FINALS")</f>
        <v>BS 37 FINALS</v>
      </c>
      <c r="I3" s="9">
        <f>IFERROR(__xludf.DUMMYFUNCTION("""COMPUTED_VALUE"""),45078.0)</f>
        <v>45078</v>
      </c>
      <c r="J3" s="9">
        <f>IFERROR(__xludf.DUMMYFUNCTION("""COMPUTED_VALUE"""),46174.0)</f>
        <v>46174</v>
      </c>
      <c r="K3" s="13">
        <f>IFERROR(__xludf.DUMMYFUNCTION("""COMPUTED_VALUE"""),47270.0)</f>
        <v>47270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7" t="str">
        <f>IFERROR(__xludf.DUMMYFUNCTION("""COMPUTED_VALUE"""),"ALBERTS")</f>
        <v>ALBERTS</v>
      </c>
      <c r="B4" s="8" t="str">
        <f>IFERROR(__xludf.DUMMYFUNCTION("""COMPUTED_VALUE"""),"DASAN")</f>
        <v>DASAN</v>
      </c>
      <c r="C4" s="8" t="str">
        <f>IFERROR(__xludf.DUMMYFUNCTION("""COMPUTED_VALUE"""),"FT TOTTEN")</f>
        <v>FT TOTTEN</v>
      </c>
      <c r="D4" s="8" t="str">
        <f>IFERROR(__xludf.DUMMYFUNCTION("""COMPUTED_VALUE"""),"ND")</f>
        <v>ND</v>
      </c>
      <c r="E4" s="8" t="str">
        <f>IFERROR(__xludf.DUMMYFUNCTION("""COMPUTED_VALUE"""),"USA")</f>
        <v>USA</v>
      </c>
      <c r="F4" s="8" t="str">
        <f>IFERROR(__xludf.DUMMYFUNCTION("""COMPUTED_VALUE"""),"TOPGUN PRO/PRO AA SINGLES")</f>
        <v>TOPGUN PRO/PRO AA SINGLES</v>
      </c>
      <c r="G4" s="8" t="str">
        <f>IFERROR(__xludf.DUMMYFUNCTION("""COMPUTED_VALUE"""),"3 4")</f>
        <v>3 4</v>
      </c>
      <c r="H4" s="8" t="str">
        <f>IFERROR(__xludf.DUMMYFUNCTION("""COMPUTED_VALUE"""),"BS 37 FINALS")</f>
        <v>BS 37 FINALS</v>
      </c>
      <c r="I4" s="9">
        <f>IFERROR(__xludf.DUMMYFUNCTION("""COMPUTED_VALUE"""),45078.0)</f>
        <v>45078</v>
      </c>
      <c r="J4" s="9">
        <f>IFERROR(__xludf.DUMMYFUNCTION("""COMPUTED_VALUE"""),46174.0)</f>
        <v>46174</v>
      </c>
      <c r="K4" s="13">
        <f>IFERROR(__xludf.DUMMYFUNCTION("""COMPUTED_VALUE"""),47270.0)</f>
        <v>47270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1" t="str">
        <f>IFERROR(__xludf.DUMMYFUNCTION("""COMPUTED_VALUE"""),"ALEXANDER")</f>
        <v>ALEXANDER</v>
      </c>
      <c r="B5" s="12" t="str">
        <f>IFERROR(__xludf.DUMMYFUNCTION("""COMPUTED_VALUE"""),"CHRISTOPHER")</f>
        <v>CHRISTOPHER</v>
      </c>
      <c r="C5" s="12" t="str">
        <f>IFERROR(__xludf.DUMMYFUNCTION("""COMPUTED_VALUE"""),"PITTSBURGH")</f>
        <v>PITTSBURGH</v>
      </c>
      <c r="D5" s="12" t="str">
        <f>IFERROR(__xludf.DUMMYFUNCTION("""COMPUTED_VALUE"""),"PA")</f>
        <v>PA</v>
      </c>
      <c r="E5" s="12" t="str">
        <f>IFERROR(__xludf.DUMMYFUNCTION("""COMPUTED_VALUE"""),"USA")</f>
        <v>USA</v>
      </c>
      <c r="F5" s="12" t="str">
        <f>IFERROR(__xludf.DUMMYFUNCTION("""COMPUTED_VALUE"""),"PRO/PRO AA LUCK")</f>
        <v>PRO/PRO AA LUCK</v>
      </c>
      <c r="G5" s="12" t="str">
        <f>IFERROR(__xludf.DUMMYFUNCTION("""COMPUTED_VALUE"""),"4")</f>
        <v>4</v>
      </c>
      <c r="H5" s="12" t="str">
        <f>IFERROR(__xludf.DUMMYFUNCTION("""COMPUTED_VALUE"""),"BS 37 FINALS")</f>
        <v>BS 37 FINALS</v>
      </c>
      <c r="I5" s="14">
        <f>IFERROR(__xludf.DUMMYFUNCTION("""COMPUTED_VALUE"""),45078.0)</f>
        <v>45078</v>
      </c>
      <c r="J5" s="14">
        <f>IFERROR(__xludf.DUMMYFUNCTION("""COMPUTED_VALUE"""),46174.0)</f>
        <v>46174</v>
      </c>
      <c r="K5" s="13">
        <f>IFERROR(__xludf.DUMMYFUNCTION("""COMPUTED_VALUE"""),47270.0)</f>
        <v>47270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7" t="str">
        <f>IFERROR(__xludf.DUMMYFUNCTION("""COMPUTED_VALUE"""),"ANDERSON")</f>
        <v>ANDERSON</v>
      </c>
      <c r="B6" s="8" t="str">
        <f>IFERROR(__xludf.DUMMYFUNCTION("""COMPUTED_VALUE"""),"CHARLES")</f>
        <v>CHARLES</v>
      </c>
      <c r="C6" s="8" t="str">
        <f>IFERROR(__xludf.DUMMYFUNCTION("""COMPUTED_VALUE"""),"ROLETTE")</f>
        <v>ROLETTE</v>
      </c>
      <c r="D6" s="8" t="str">
        <f>IFERROR(__xludf.DUMMYFUNCTION("""COMPUTED_VALUE"""),"SD")</f>
        <v>SD</v>
      </c>
      <c r="E6" s="8" t="str">
        <f>IFERROR(__xludf.DUMMYFUNCTION("""COMPUTED_VALUE"""),"USA")</f>
        <v>USA</v>
      </c>
      <c r="F6" s="8" t="str">
        <f>IFERROR(__xludf.DUMMYFUNCTION("""COMPUTED_VALUE"""),"PRO AA DBLS 501")</f>
        <v>PRO AA DBLS 501</v>
      </c>
      <c r="G6" s="8" t="str">
        <f>IFERROR(__xludf.DUMMYFUNCTION("""COMPUTED_VALUE"""),"4TH")</f>
        <v>4TH</v>
      </c>
      <c r="H6" s="8" t="str">
        <f>IFERROR(__xludf.DUMMYFUNCTION("""COMPUTED_VALUE"""),"BULLSHOOTER 36 FINALS")</f>
        <v>BULLSHOOTER 36 FINALS</v>
      </c>
      <c r="I6" s="9">
        <f>IFERROR(__xludf.DUMMYFUNCTION("""COMPUTED_VALUE"""),44713.0)</f>
        <v>44713</v>
      </c>
      <c r="J6" s="9">
        <f>IFERROR(__xludf.DUMMYFUNCTION("""COMPUTED_VALUE"""),45809.0)</f>
        <v>45809</v>
      </c>
      <c r="K6" s="13">
        <f>IFERROR(__xludf.DUMMYFUNCTION("""COMPUTED_VALUE"""),46905.0)</f>
        <v>46905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7" t="str">
        <f>IFERROR(__xludf.DUMMYFUNCTION("""COMPUTED_VALUE"""),"Arpin")</f>
        <v>Arpin</v>
      </c>
      <c r="B7" s="8" t="str">
        <f>IFERROR(__xludf.DUMMYFUNCTION("""COMPUTED_VALUE"""),"Matthew")</f>
        <v>Matthew</v>
      </c>
      <c r="C7" s="8"/>
      <c r="D7" s="8"/>
      <c r="E7" s="8"/>
      <c r="F7" s="8" t="str">
        <f>IFERROR(__xludf.DUMMYFUNCTION("""COMPUTED_VALUE"""),"ADO List 2024")</f>
        <v>ADO List 2024</v>
      </c>
      <c r="G7" s="8"/>
      <c r="H7" s="8"/>
      <c r="I7" s="9">
        <f>IFERROR(__xludf.DUMMYFUNCTION("""COMPUTED_VALUE"""),45444.0)</f>
        <v>45444</v>
      </c>
      <c r="J7" s="9">
        <f>IFERROR(__xludf.DUMMYFUNCTION("""COMPUTED_VALUE"""),46539.0)</f>
        <v>46539</v>
      </c>
      <c r="K7" s="13">
        <f>IFERROR(__xludf.DUMMYFUNCTION("""COMPUTED_VALUE"""),47635.0)</f>
        <v>47635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7" t="str">
        <f>IFERROR(__xludf.DUMMYFUNCTION("""COMPUTED_VALUE"""),"BAGGISH")</f>
        <v>BAGGISH</v>
      </c>
      <c r="B8" s="8" t="str">
        <f>IFERROR(__xludf.DUMMYFUNCTION("""COMPUTED_VALUE"""),"DANIEL")</f>
        <v>DANIEL</v>
      </c>
      <c r="C8" s="8" t="str">
        <f>IFERROR(__xludf.DUMMYFUNCTION("""COMPUTED_VALUE"""),"WINTERHAVEN")</f>
        <v>WINTERHAVEN</v>
      </c>
      <c r="D8" s="8" t="str">
        <f>IFERROR(__xludf.DUMMYFUNCTION("""COMPUTED_VALUE"""),"FL")</f>
        <v>FL</v>
      </c>
      <c r="E8" s="8" t="str">
        <f>IFERROR(__xludf.DUMMYFUNCTION("""COMPUTED_VALUE"""),"USA")</f>
        <v>USA</v>
      </c>
      <c r="F8" s="8" t="str">
        <f>IFERROR(__xludf.DUMMYFUNCTION("""COMPUTED_VALUE"""),"WDF List 2024")</f>
        <v>WDF List 2024</v>
      </c>
      <c r="G8" s="8"/>
      <c r="H8" s="8"/>
      <c r="I8" s="9">
        <f>IFERROR(__xludf.DUMMYFUNCTION("""COMPUTED_VALUE"""),45078.0)</f>
        <v>45078</v>
      </c>
      <c r="J8" s="9">
        <f>IFERROR(__xludf.DUMMYFUNCTION("""COMPUTED_VALUE"""),46539.0)</f>
        <v>46539</v>
      </c>
      <c r="K8" s="13">
        <f>IFERROR(__xludf.DUMMYFUNCTION("""COMPUTED_VALUE"""),47635.0)</f>
        <v>47635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7" t="str">
        <f>IFERROR(__xludf.DUMMYFUNCTION("""COMPUTED_VALUE"""),"BARLOW")</f>
        <v>BARLOW</v>
      </c>
      <c r="B9" s="8" t="str">
        <f>IFERROR(__xludf.DUMMYFUNCTION("""COMPUTED_VALUE"""),"JAYSON")</f>
        <v>JAYSON</v>
      </c>
      <c r="C9" s="8" t="str">
        <f>IFERROR(__xludf.DUMMYFUNCTION("""COMPUTED_VALUE"""),"STRATFORD")</f>
        <v>STRATFORD</v>
      </c>
      <c r="D9" s="8" t="str">
        <f>IFERROR(__xludf.DUMMYFUNCTION("""COMPUTED_VALUE"""),"ONT")</f>
        <v>ONT</v>
      </c>
      <c r="E9" s="8" t="str">
        <f>IFERROR(__xludf.DUMMYFUNCTION("""COMPUTED_VALUE"""),"CANADA")</f>
        <v>CANADA</v>
      </c>
      <c r="F9" s="8" t="str">
        <f>IFERROR(__xludf.DUMMYFUNCTION("""COMPUTED_VALUE"""),"Pro AA 501 Dbls")</f>
        <v>Pro AA 501 Dbls</v>
      </c>
      <c r="G9" s="8" t="str">
        <f>IFERROR(__xludf.DUMMYFUNCTION("""COMPUTED_VALUE"""),"2nd")</f>
        <v>2nd</v>
      </c>
      <c r="H9" s="8" t="str">
        <f>IFERROR(__xludf.DUMMYFUNCTION("""COMPUTED_VALUE"""),"BS 38 Finals")</f>
        <v>BS 38 Finals</v>
      </c>
      <c r="I9" s="9">
        <f>IFERROR(__xludf.DUMMYFUNCTION("""COMPUTED_VALUE"""),45078.0)</f>
        <v>45078</v>
      </c>
      <c r="J9" s="9">
        <f>IFERROR(__xludf.DUMMYFUNCTION("""COMPUTED_VALUE"""),46539.0)</f>
        <v>46539</v>
      </c>
      <c r="K9" s="13">
        <f>IFERROR(__xludf.DUMMYFUNCTION("""COMPUTED_VALUE"""),47635.0)</f>
        <v>47635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7" t="str">
        <f>IFERROR(__xludf.DUMMYFUNCTION("""COMPUTED_VALUE"""),"BEECROFT")</f>
        <v>BEECROFT</v>
      </c>
      <c r="B10" s="8" t="str">
        <f>IFERROR(__xludf.DUMMYFUNCTION("""COMPUTED_VALUE"""),"JOEY")</f>
        <v>JOEY</v>
      </c>
      <c r="C10" s="8" t="str">
        <f>IFERROR(__xludf.DUMMYFUNCTION("""COMPUTED_VALUE"""),"BLOOMINGDALE")</f>
        <v>BLOOMINGDALE</v>
      </c>
      <c r="D10" s="8" t="str">
        <f>IFERROR(__xludf.DUMMYFUNCTION("""COMPUTED_VALUE"""),"IL")</f>
        <v>IL</v>
      </c>
      <c r="E10" s="8" t="str">
        <f>IFERROR(__xludf.DUMMYFUNCTION("""COMPUTED_VALUE"""),"USA")</f>
        <v>USA</v>
      </c>
      <c r="F10" s="8" t="str">
        <f>IFERROR(__xludf.DUMMYFUNCTION("""COMPUTED_VALUE"""),"PRO CRICKET DBLS")</f>
        <v>PRO CRICKET DBLS</v>
      </c>
      <c r="G10" s="8" t="str">
        <f>IFERROR(__xludf.DUMMYFUNCTION("""COMPUTED_VALUE"""),"2")</f>
        <v>2</v>
      </c>
      <c r="H10" s="8" t="str">
        <f>IFERROR(__xludf.DUMMYFUNCTION("""COMPUTED_VALUE"""),"BS 37 FINALS")</f>
        <v>BS 37 FINALS</v>
      </c>
      <c r="I10" s="9">
        <f>IFERROR(__xludf.DUMMYFUNCTION("""COMPUTED_VALUE"""),45078.0)</f>
        <v>45078</v>
      </c>
      <c r="J10" s="9">
        <f>IFERROR(__xludf.DUMMYFUNCTION("""COMPUTED_VALUE"""),46174.0)</f>
        <v>46174</v>
      </c>
      <c r="K10" s="13">
        <f>IFERROR(__xludf.DUMMYFUNCTION("""COMPUTED_VALUE"""),47270.0)</f>
        <v>47270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11" t="str">
        <f>IFERROR(__xludf.DUMMYFUNCTION("""COMPUTED_VALUE"""),"Bigham")</f>
        <v>Bigham</v>
      </c>
      <c r="B11" s="12" t="str">
        <f>IFERROR(__xludf.DUMMYFUNCTION("""COMPUTED_VALUE"""),"Bryan")</f>
        <v>Bryan</v>
      </c>
      <c r="C11" s="12" t="str">
        <f>IFERROR(__xludf.DUMMYFUNCTION("""COMPUTED_VALUE"""),"POCAHOTAS")</f>
        <v>POCAHOTAS</v>
      </c>
      <c r="D11" s="12" t="str">
        <f>IFERROR(__xludf.DUMMYFUNCTION("""COMPUTED_VALUE"""),"WV")</f>
        <v>WV</v>
      </c>
      <c r="E11" s="12" t="str">
        <f>IFERROR(__xludf.DUMMYFUNCTION("""COMPUTED_VALUE"""),"USA")</f>
        <v>USA</v>
      </c>
      <c r="F11" s="12" t="str">
        <f>IFERROR(__xludf.DUMMYFUNCTION("""COMPUTED_VALUE"""),"Pro 501 Dbls")</f>
        <v>Pro 501 Dbls</v>
      </c>
      <c r="G11" s="12" t="str">
        <f>IFERROR(__xludf.DUMMYFUNCTION("""COMPUTED_VALUE"""),"2nd")</f>
        <v>2nd</v>
      </c>
      <c r="H11" s="12" t="str">
        <f>IFERROR(__xludf.DUMMYFUNCTION("""COMPUTED_VALUE"""),"BS 38 Finals")</f>
        <v>BS 38 Finals</v>
      </c>
      <c r="I11" s="14">
        <f>IFERROR(__xludf.DUMMYFUNCTION("""COMPUTED_VALUE"""),45444.0)</f>
        <v>45444</v>
      </c>
      <c r="J11" s="14">
        <f>IFERROR(__xludf.DUMMYFUNCTION("""COMPUTED_VALUE"""),46539.0)</f>
        <v>46539</v>
      </c>
      <c r="K11" s="13">
        <f>IFERROR(__xludf.DUMMYFUNCTION("""COMPUTED_VALUE"""),47635.0)</f>
        <v>47635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7" t="str">
        <f>IFERROR(__xludf.DUMMYFUNCTION("""COMPUTED_VALUE"""),"BOBZIEN")</f>
        <v>BOBZIEN</v>
      </c>
      <c r="B12" s="8" t="str">
        <f>IFERROR(__xludf.DUMMYFUNCTION("""COMPUTED_VALUE"""),"ARIC")</f>
        <v>ARIC</v>
      </c>
      <c r="C12" s="8" t="str">
        <f>IFERROR(__xludf.DUMMYFUNCTION("""COMPUTED_VALUE"""),"JANESVILLE")</f>
        <v>JANESVILLE</v>
      </c>
      <c r="D12" s="8" t="str">
        <f>IFERROR(__xludf.DUMMYFUNCTION("""COMPUTED_VALUE"""),"WI")</f>
        <v>WI</v>
      </c>
      <c r="E12" s="8" t="str">
        <f>IFERROR(__xludf.DUMMYFUNCTION("""COMPUTED_VALUE"""),"USA")</f>
        <v>USA</v>
      </c>
      <c r="F12" s="8" t="str">
        <f>IFERROR(__xludf.DUMMYFUNCTION("""COMPUTED_VALUE"""),"Pro Cricket Dbls")</f>
        <v>Pro Cricket Dbls</v>
      </c>
      <c r="G12" s="8" t="str">
        <f>IFERROR(__xludf.DUMMYFUNCTION("""COMPUTED_VALUE"""),"3rd")</f>
        <v>3rd</v>
      </c>
      <c r="H12" s="8" t="str">
        <f>IFERROR(__xludf.DUMMYFUNCTION("""COMPUTED_VALUE"""),"BS 38 Finals")</f>
        <v>BS 38 Finals</v>
      </c>
      <c r="I12" s="9">
        <f>IFERROR(__xludf.DUMMYFUNCTION("""COMPUTED_VALUE"""),45444.0)</f>
        <v>45444</v>
      </c>
      <c r="J12" s="9">
        <f>IFERROR(__xludf.DUMMYFUNCTION("""COMPUTED_VALUE"""),46539.0)</f>
        <v>46539</v>
      </c>
      <c r="K12" s="13">
        <f>IFERROR(__xludf.DUMMYFUNCTION("""COMPUTED_VALUE"""),47635.0)</f>
        <v>47635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7" t="str">
        <f>IFERROR(__xludf.DUMMYFUNCTION("""COMPUTED_VALUE"""),"Brandon")</f>
        <v>Brandon</v>
      </c>
      <c r="B13" s="8" t="str">
        <f>IFERROR(__xludf.DUMMYFUNCTION("""COMPUTED_VALUE"""),"Jason")</f>
        <v>Jason</v>
      </c>
      <c r="C13" s="8"/>
      <c r="D13" s="8"/>
      <c r="E13" s="8"/>
      <c r="F13" s="8" t="str">
        <f>IFERROR(__xludf.DUMMYFUNCTION("""COMPUTED_VALUE"""),"ADO List 2024")</f>
        <v>ADO List 2024</v>
      </c>
      <c r="G13" s="8"/>
      <c r="H13" s="8"/>
      <c r="I13" s="9">
        <f>IFERROR(__xludf.DUMMYFUNCTION("""COMPUTED_VALUE"""),45444.0)</f>
        <v>45444</v>
      </c>
      <c r="J13" s="9">
        <f>IFERROR(__xludf.DUMMYFUNCTION("""COMPUTED_VALUE"""),46539.0)</f>
        <v>46539</v>
      </c>
      <c r="K13" s="13">
        <f>IFERROR(__xludf.DUMMYFUNCTION("""COMPUTED_VALUE"""),47635.0)</f>
        <v>47635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7" t="str">
        <f>IFERROR(__xludf.DUMMYFUNCTION("""COMPUTED_VALUE"""),"Buntz")</f>
        <v>Buntz</v>
      </c>
      <c r="B14" s="8" t="str">
        <f>IFERROR(__xludf.DUMMYFUNCTION("""COMPUTED_VALUE"""),"Stowe")</f>
        <v>Stowe</v>
      </c>
      <c r="C14" s="8"/>
      <c r="D14" s="8"/>
      <c r="E14" s="8"/>
      <c r="F14" s="8" t="str">
        <f>IFERROR(__xludf.DUMMYFUNCTION("""COMPUTED_VALUE"""),"WDF List 2024")</f>
        <v>WDF List 2024</v>
      </c>
      <c r="G14" s="8"/>
      <c r="H14" s="8"/>
      <c r="I14" s="9">
        <f>IFERROR(__xludf.DUMMYFUNCTION("""COMPUTED_VALUE"""),45444.0)</f>
        <v>45444</v>
      </c>
      <c r="J14" s="9">
        <f>IFERROR(__xludf.DUMMYFUNCTION("""COMPUTED_VALUE"""),46539.0)</f>
        <v>46539</v>
      </c>
      <c r="K14" s="13">
        <f>IFERROR(__xludf.DUMMYFUNCTION("""COMPUTED_VALUE"""),47635.0)</f>
        <v>47635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7" t="str">
        <f>IFERROR(__xludf.DUMMYFUNCTION("""COMPUTED_VALUE"""),"BUTLER")</f>
        <v>BUTLER</v>
      </c>
      <c r="B15" s="8" t="str">
        <f>IFERROR(__xludf.DUMMYFUNCTION("""COMPUTED_VALUE"""),"LARRY")</f>
        <v>LARRY</v>
      </c>
      <c r="C15" s="8" t="str">
        <f>IFERROR(__xludf.DUMMYFUNCTION("""COMPUTED_VALUE"""),"FAIRBORN")</f>
        <v>FAIRBORN</v>
      </c>
      <c r="D15" s="8" t="str">
        <f>IFERROR(__xludf.DUMMYFUNCTION("""COMPUTED_VALUE"""),"OH")</f>
        <v>OH</v>
      </c>
      <c r="E15" s="8" t="str">
        <f>IFERROR(__xludf.DUMMYFUNCTION("""COMPUTED_VALUE"""),"USA")</f>
        <v>USA</v>
      </c>
      <c r="F15" s="8" t="str">
        <f>IFERROR(__xludf.DUMMYFUNCTION("""COMPUTED_VALUE"""),"Pro AA Cricket Dbls")</f>
        <v>Pro AA Cricket Dbls</v>
      </c>
      <c r="G15" s="8" t="str">
        <f>IFERROR(__xludf.DUMMYFUNCTION("""COMPUTED_VALUE"""),"3rd")</f>
        <v>3rd</v>
      </c>
      <c r="H15" s="8" t="str">
        <f>IFERROR(__xludf.DUMMYFUNCTION("""COMPUTED_VALUE"""),"BS 38 Finals")</f>
        <v>BS 38 Finals</v>
      </c>
      <c r="I15" s="9">
        <f>IFERROR(__xludf.DUMMYFUNCTION("""COMPUTED_VALUE"""),45078.0)</f>
        <v>45078</v>
      </c>
      <c r="J15" s="9">
        <f>IFERROR(__xludf.DUMMYFUNCTION("""COMPUTED_VALUE"""),46539.0)</f>
        <v>46539</v>
      </c>
      <c r="K15" s="13">
        <f>IFERROR(__xludf.DUMMYFUNCTION("""COMPUTED_VALUE"""),47635.0)</f>
        <v>47635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7" t="str">
        <f>IFERROR(__xludf.DUMMYFUNCTION("""COMPUTED_VALUE"""),"BYRNE")</f>
        <v>BYRNE</v>
      </c>
      <c r="B16" s="8" t="str">
        <f>IFERROR(__xludf.DUMMYFUNCTION("""COMPUTED_VALUE"""),"JEREMY")</f>
        <v>JEREMY</v>
      </c>
      <c r="C16" s="8" t="str">
        <f>IFERROR(__xludf.DUMMYFUNCTION("""COMPUTED_VALUE"""),"RACINE")</f>
        <v>RACINE</v>
      </c>
      <c r="D16" s="8" t="str">
        <f>IFERROR(__xludf.DUMMYFUNCTION("""COMPUTED_VALUE"""),"WI")</f>
        <v>WI</v>
      </c>
      <c r="E16" s="8" t="str">
        <f>IFERROR(__xludf.DUMMYFUNCTION("""COMPUTED_VALUE"""),"USA")</f>
        <v>USA</v>
      </c>
      <c r="F16" s="8" t="str">
        <f>IFERROR(__xludf.DUMMYFUNCTION("""COMPUTED_VALUE"""),"Pro Cricket Dbls")</f>
        <v>Pro Cricket Dbls</v>
      </c>
      <c r="G16" s="8" t="str">
        <f>IFERROR(__xludf.DUMMYFUNCTION("""COMPUTED_VALUE"""),"4th")</f>
        <v>4th</v>
      </c>
      <c r="H16" s="8" t="str">
        <f>IFERROR(__xludf.DUMMYFUNCTION("""COMPUTED_VALUE"""),"BS 38 Finals")</f>
        <v>BS 38 Finals</v>
      </c>
      <c r="I16" s="9">
        <f>IFERROR(__xludf.DUMMYFUNCTION("""COMPUTED_VALUE"""),45444.0)</f>
        <v>45444</v>
      </c>
      <c r="J16" s="9">
        <f>IFERROR(__xludf.DUMMYFUNCTION("""COMPUTED_VALUE"""),46539.0)</f>
        <v>46539</v>
      </c>
      <c r="K16" s="13">
        <f>IFERROR(__xludf.DUMMYFUNCTION("""COMPUTED_VALUE"""),47635.0)</f>
        <v>47635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7" t="str">
        <f>IFERROR(__xludf.DUMMYFUNCTION("""COMPUTED_VALUE"""),"CALFISCH")</f>
        <v>CALFISCH</v>
      </c>
      <c r="B17" s="8" t="str">
        <f>IFERROR(__xludf.DUMMYFUNCTION("""COMPUTED_VALUE"""),"SEAN")</f>
        <v>SEAN</v>
      </c>
      <c r="C17" s="8" t="str">
        <f>IFERROR(__xludf.DUMMYFUNCTION("""COMPUTED_VALUE"""),"BARABOO")</f>
        <v>BARABOO</v>
      </c>
      <c r="D17" s="8" t="str">
        <f>IFERROR(__xludf.DUMMYFUNCTION("""COMPUTED_VALUE"""),"WI")</f>
        <v>WI</v>
      </c>
      <c r="E17" s="8" t="str">
        <f>IFERROR(__xludf.DUMMYFUNCTION("""COMPUTED_VALUE"""),"USA")</f>
        <v>USA</v>
      </c>
      <c r="F17" s="8" t="str">
        <f>IFERROR(__xludf.DUMMYFUNCTION("""COMPUTED_VALUE"""),"Pro 501 Singles")</f>
        <v>Pro 501 Singles</v>
      </c>
      <c r="G17" s="8" t="str">
        <f>IFERROR(__xludf.DUMMYFUNCTION("""COMPUTED_VALUE"""),"2nd")</f>
        <v>2nd</v>
      </c>
      <c r="H17" s="8" t="str">
        <f>IFERROR(__xludf.DUMMYFUNCTION("""COMPUTED_VALUE"""),"BS 38 Finals")</f>
        <v>BS 38 Finals</v>
      </c>
      <c r="I17" s="9">
        <f>IFERROR(__xludf.DUMMYFUNCTION("""COMPUTED_VALUE"""),45444.0)</f>
        <v>45444</v>
      </c>
      <c r="J17" s="9">
        <f>IFERROR(__xludf.DUMMYFUNCTION("""COMPUTED_VALUE"""),46539.0)</f>
        <v>46539</v>
      </c>
      <c r="K17" s="13">
        <f>IFERROR(__xludf.DUMMYFUNCTION("""COMPUTED_VALUE"""),47635.0)</f>
        <v>47635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7" t="str">
        <f>IFERROR(__xludf.DUMMYFUNCTION("""COMPUTED_VALUE"""),"CAMERON")</f>
        <v>CAMERON</v>
      </c>
      <c r="B18" s="8" t="str">
        <f>IFERROR(__xludf.DUMMYFUNCTION("""COMPUTED_VALUE"""),"DAVID")</f>
        <v>DAVID</v>
      </c>
      <c r="C18" s="8" t="str">
        <f>IFERROR(__xludf.DUMMYFUNCTION("""COMPUTED_VALUE"""),"HALIFAX")</f>
        <v>HALIFAX</v>
      </c>
      <c r="D18" s="8" t="str">
        <f>IFERROR(__xludf.DUMMYFUNCTION("""COMPUTED_VALUE"""),"NOVA SCOTIA")</f>
        <v>NOVA SCOTIA</v>
      </c>
      <c r="E18" s="8" t="str">
        <f>IFERROR(__xludf.DUMMYFUNCTION("""COMPUTED_VALUE"""),"CANADA")</f>
        <v>CANADA</v>
      </c>
      <c r="F18" s="8" t="str">
        <f>IFERROR(__xludf.DUMMYFUNCTION("""COMPUTED_VALUE"""),"Pro Luck Cricket")</f>
        <v>Pro Luck Cricket</v>
      </c>
      <c r="G18" s="8" t="str">
        <f>IFERROR(__xludf.DUMMYFUNCTION("""COMPUTED_VALUE"""),"1st")</f>
        <v>1st</v>
      </c>
      <c r="H18" s="8" t="str">
        <f>IFERROR(__xludf.DUMMYFUNCTION("""COMPUTED_VALUE"""),"BS 38 Finals")</f>
        <v>BS 38 Finals</v>
      </c>
      <c r="I18" s="9">
        <f>IFERROR(__xludf.DUMMYFUNCTION("""COMPUTED_VALUE"""),45078.0)</f>
        <v>45078</v>
      </c>
      <c r="J18" s="9">
        <f>IFERROR(__xludf.DUMMYFUNCTION("""COMPUTED_VALUE"""),46539.0)</f>
        <v>46539</v>
      </c>
      <c r="K18" s="13">
        <f>IFERROR(__xludf.DUMMYFUNCTION("""COMPUTED_VALUE"""),47635.0)</f>
        <v>47635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7" t="str">
        <f>IFERROR(__xludf.DUMMYFUNCTION("""COMPUTED_VALUE"""),"Campbell")</f>
        <v>Campbell</v>
      </c>
      <c r="B19" s="8" t="str">
        <f>IFERROR(__xludf.DUMMYFUNCTION("""COMPUTED_VALUE"""),"Matt")</f>
        <v>Matt</v>
      </c>
      <c r="C19" s="8"/>
      <c r="D19" s="8"/>
      <c r="E19" s="8" t="str">
        <f>IFERROR(__xludf.DUMMYFUNCTION("""COMPUTED_VALUE"""),"Canada")</f>
        <v>Canada</v>
      </c>
      <c r="F19" s="8" t="str">
        <f>IFERROR(__xludf.DUMMYFUNCTION("""COMPUTED_VALUE"""),"Pro AA Cricket Dbls")</f>
        <v>Pro AA Cricket Dbls</v>
      </c>
      <c r="G19" s="8" t="str">
        <f>IFERROR(__xludf.DUMMYFUNCTION("""COMPUTED_VALUE"""),"3rd")</f>
        <v>3rd</v>
      </c>
      <c r="H19" s="8" t="str">
        <f>IFERROR(__xludf.DUMMYFUNCTION("""COMPUTED_VALUE"""),"BS 38 Finals")</f>
        <v>BS 38 Finals</v>
      </c>
      <c r="I19" s="9">
        <f>IFERROR(__xludf.DUMMYFUNCTION("""COMPUTED_VALUE"""),45444.0)</f>
        <v>45444</v>
      </c>
      <c r="J19" s="9">
        <f>IFERROR(__xludf.DUMMYFUNCTION("""COMPUTED_VALUE"""),46539.0)</f>
        <v>46539</v>
      </c>
      <c r="K19" s="13">
        <f>IFERROR(__xludf.DUMMYFUNCTION("""COMPUTED_VALUE"""),47635.0)</f>
        <v>47635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7" t="str">
        <f>IFERROR(__xludf.DUMMYFUNCTION("""COMPUTED_VALUE"""),"Carroll")</f>
        <v>Carroll</v>
      </c>
      <c r="B20" s="8" t="str">
        <f>IFERROR(__xludf.DUMMYFUNCTION("""COMPUTED_VALUE"""),"David")</f>
        <v>David</v>
      </c>
      <c r="C20" s="8"/>
      <c r="D20" s="8"/>
      <c r="E20" s="8" t="str">
        <f>IFERROR(__xludf.DUMMYFUNCTION("""COMPUTED_VALUE"""),"USA")</f>
        <v>USA</v>
      </c>
      <c r="F20" s="8" t="str">
        <f>IFERROR(__xludf.DUMMYFUNCTION("""COMPUTED_VALUE"""),"ADO List 2024")</f>
        <v>ADO List 2024</v>
      </c>
      <c r="G20" s="8"/>
      <c r="H20" s="8"/>
      <c r="I20" s="9">
        <f>IFERROR(__xludf.DUMMYFUNCTION("""COMPUTED_VALUE"""),45444.0)</f>
        <v>45444</v>
      </c>
      <c r="J20" s="9">
        <f>IFERROR(__xludf.DUMMYFUNCTION("""COMPUTED_VALUE"""),46539.0)</f>
        <v>46539</v>
      </c>
      <c r="K20" s="13">
        <f>IFERROR(__xludf.DUMMYFUNCTION("""COMPUTED_VALUE"""),47635.0)</f>
        <v>47635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7" t="str">
        <f>IFERROR(__xludf.DUMMYFUNCTION("""COMPUTED_VALUE"""),"CARTER")</f>
        <v>CARTER</v>
      </c>
      <c r="B21" s="8" t="str">
        <f>IFERROR(__xludf.DUMMYFUNCTION("""COMPUTED_VALUE"""),"MICHAEL")</f>
        <v>MICHAEL</v>
      </c>
      <c r="C21" s="8" t="str">
        <f>IFERROR(__xludf.DUMMYFUNCTION("""COMPUTED_VALUE"""),"TOLLESON")</f>
        <v>TOLLESON</v>
      </c>
      <c r="D21" s="8" t="str">
        <f>IFERROR(__xludf.DUMMYFUNCTION("""COMPUTED_VALUE"""),"AZ")</f>
        <v>AZ</v>
      </c>
      <c r="E21" s="8" t="str">
        <f>IFERROR(__xludf.DUMMYFUNCTION("""COMPUTED_VALUE"""),"USA")</f>
        <v>USA</v>
      </c>
      <c r="F21" s="8" t="str">
        <f>IFERROR(__xludf.DUMMYFUNCTION("""COMPUTED_VALUE"""),"Pro AA Cricket Dbls")</f>
        <v>Pro AA Cricket Dbls</v>
      </c>
      <c r="G21" s="8" t="str">
        <f>IFERROR(__xludf.DUMMYFUNCTION("""COMPUTED_VALUE"""),"1st")</f>
        <v>1st</v>
      </c>
      <c r="H21" s="8" t="str">
        <f>IFERROR(__xludf.DUMMYFUNCTION("""COMPUTED_VALUE"""),"BS 38 Finals")</f>
        <v>BS 38 Finals</v>
      </c>
      <c r="I21" s="9">
        <f>IFERROR(__xludf.DUMMYFUNCTION("""COMPUTED_VALUE"""),45078.0)</f>
        <v>45078</v>
      </c>
      <c r="J21" s="9">
        <f>IFERROR(__xludf.DUMMYFUNCTION("""COMPUTED_VALUE"""),46539.0)</f>
        <v>46539</v>
      </c>
      <c r="K21" s="13">
        <f>IFERROR(__xludf.DUMMYFUNCTION("""COMPUTED_VALUE"""),47635.0)</f>
        <v>47635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7" t="str">
        <f>IFERROR(__xludf.DUMMYFUNCTION("""COMPUTED_VALUE"""),"CHANEY")</f>
        <v>CHANEY</v>
      </c>
      <c r="B22" s="8" t="str">
        <f>IFERROR(__xludf.DUMMYFUNCTION("""COMPUTED_VALUE"""),"JOE")</f>
        <v>JOE</v>
      </c>
      <c r="C22" s="8" t="str">
        <f>IFERROR(__xludf.DUMMYFUNCTION("""COMPUTED_VALUE"""),"HARRISON")</f>
        <v>HARRISON</v>
      </c>
      <c r="D22" s="8" t="str">
        <f>IFERROR(__xludf.DUMMYFUNCTION("""COMPUTED_VALUE"""),"TN")</f>
        <v>TN</v>
      </c>
      <c r="E22" s="8" t="str">
        <f>IFERROR(__xludf.DUMMYFUNCTION("""COMPUTED_VALUE"""),"USA")</f>
        <v>USA</v>
      </c>
      <c r="F22" s="8" t="str">
        <f>IFERROR(__xludf.DUMMYFUNCTION("""COMPUTED_VALUE"""),"Pro AA 501 Dbls")</f>
        <v>Pro AA 501 Dbls</v>
      </c>
      <c r="G22" s="8" t="str">
        <f>IFERROR(__xludf.DUMMYFUNCTION("""COMPUTED_VALUE"""),"4th")</f>
        <v>4th</v>
      </c>
      <c r="H22" s="8" t="str">
        <f>IFERROR(__xludf.DUMMYFUNCTION("""COMPUTED_VALUE"""),"BS 38 Finals")</f>
        <v>BS 38 Finals</v>
      </c>
      <c r="I22" s="9">
        <f>IFERROR(__xludf.DUMMYFUNCTION("""COMPUTED_VALUE"""),45078.0)</f>
        <v>45078</v>
      </c>
      <c r="J22" s="9">
        <f>IFERROR(__xludf.DUMMYFUNCTION("""COMPUTED_VALUE"""),46174.0)</f>
        <v>46174</v>
      </c>
      <c r="K22" s="13">
        <f>IFERROR(__xludf.DUMMYFUNCTION("""COMPUTED_VALUE"""),47270.0)</f>
        <v>47270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7" t="str">
        <f>IFERROR(__xludf.DUMMYFUNCTION("""COMPUTED_VALUE"""),"Curtin")</f>
        <v>Curtin</v>
      </c>
      <c r="B23" s="8" t="str">
        <f>IFERROR(__xludf.DUMMYFUNCTION("""COMPUTED_VALUE"""),"Tom")</f>
        <v>Tom</v>
      </c>
      <c r="C23" s="8"/>
      <c r="D23" s="8"/>
      <c r="E23" s="8"/>
      <c r="F23" s="8" t="str">
        <f>IFERROR(__xludf.DUMMYFUNCTION("""COMPUTED_VALUE"""),"ADO List 2024")</f>
        <v>ADO List 2024</v>
      </c>
      <c r="G23" s="8"/>
      <c r="H23" s="8"/>
      <c r="I23" s="9">
        <f>IFERROR(__xludf.DUMMYFUNCTION("""COMPUTED_VALUE"""),45444.0)</f>
        <v>45444</v>
      </c>
      <c r="J23" s="9">
        <f>IFERROR(__xludf.DUMMYFUNCTION("""COMPUTED_VALUE"""),46539.0)</f>
        <v>46539</v>
      </c>
      <c r="K23" s="13">
        <f>IFERROR(__xludf.DUMMYFUNCTION("""COMPUTED_VALUE"""),47635.0)</f>
        <v>47635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7" t="str">
        <f>IFERROR(__xludf.DUMMYFUNCTION("""COMPUTED_VALUE"""),"Daigneault")</f>
        <v>Daigneault</v>
      </c>
      <c r="B24" s="8" t="str">
        <f>IFERROR(__xludf.DUMMYFUNCTION("""COMPUTED_VALUE"""),"Jason")</f>
        <v>Jason</v>
      </c>
      <c r="C24" s="8"/>
      <c r="D24" s="8"/>
      <c r="E24" s="8"/>
      <c r="F24" s="8" t="str">
        <f>IFERROR(__xludf.DUMMYFUNCTION("""COMPUTED_VALUE"""),"ADO List 2024")</f>
        <v>ADO List 2024</v>
      </c>
      <c r="G24" s="8"/>
      <c r="H24" s="8"/>
      <c r="I24" s="9">
        <f>IFERROR(__xludf.DUMMYFUNCTION("""COMPUTED_VALUE"""),45444.0)</f>
        <v>45444</v>
      </c>
      <c r="J24" s="9">
        <f>IFERROR(__xludf.DUMMYFUNCTION("""COMPUTED_VALUE"""),46539.0)</f>
        <v>46539</v>
      </c>
      <c r="K24" s="13">
        <f>IFERROR(__xludf.DUMMYFUNCTION("""COMPUTED_VALUE"""),47635.0)</f>
        <v>47635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11" t="str">
        <f>IFERROR(__xludf.DUMMYFUNCTION("""COMPUTED_VALUE"""),"DANIELS")</f>
        <v>DANIELS</v>
      </c>
      <c r="B25" s="12" t="str">
        <f>IFERROR(__xludf.DUMMYFUNCTION("""COMPUTED_VALUE"""),"GEORGE")</f>
        <v>GEORGE</v>
      </c>
      <c r="C25" s="12" t="str">
        <f>IFERROR(__xludf.DUMMYFUNCTION("""COMPUTED_VALUE"""),"LATONIA")</f>
        <v>LATONIA</v>
      </c>
      <c r="D25" s="12" t="str">
        <f>IFERROR(__xludf.DUMMYFUNCTION("""COMPUTED_VALUE"""),"KY")</f>
        <v>KY</v>
      </c>
      <c r="E25" s="12" t="str">
        <f>IFERROR(__xludf.DUMMYFUNCTION("""COMPUTED_VALUE"""),"USA")</f>
        <v>USA</v>
      </c>
      <c r="F25" s="12" t="str">
        <f>IFERROR(__xludf.DUMMYFUNCTION("""COMPUTED_VALUE"""),"Pro Cricket Dbls")</f>
        <v>Pro Cricket Dbls</v>
      </c>
      <c r="G25" s="12" t="str">
        <f>IFERROR(__xludf.DUMMYFUNCTION("""COMPUTED_VALUE"""),"1st")</f>
        <v>1st</v>
      </c>
      <c r="H25" s="12" t="str">
        <f>IFERROR(__xludf.DUMMYFUNCTION("""COMPUTED_VALUE"""),"BS 38 Finals")</f>
        <v>BS 38 Finals</v>
      </c>
      <c r="I25" s="14">
        <f>IFERROR(__xludf.DUMMYFUNCTION("""COMPUTED_VALUE"""),45444.0)</f>
        <v>45444</v>
      </c>
      <c r="J25" s="14">
        <f>IFERROR(__xludf.DUMMYFUNCTION("""COMPUTED_VALUE"""),46539.0)</f>
        <v>46539</v>
      </c>
      <c r="K25" s="13">
        <f>IFERROR(__xludf.DUMMYFUNCTION("""COMPUTED_VALUE"""),47635.0)</f>
        <v>47635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7" t="str">
        <f>IFERROR(__xludf.DUMMYFUNCTION("""COMPUTED_VALUE"""),"Davey")</f>
        <v>Davey</v>
      </c>
      <c r="B26" s="8" t="str">
        <f>IFERROR(__xludf.DUMMYFUNCTION("""COMPUTED_VALUE"""),"Tucker")</f>
        <v>Tucker</v>
      </c>
      <c r="C26" s="8"/>
      <c r="D26" s="8"/>
      <c r="E26" s="8"/>
      <c r="F26" s="8" t="str">
        <f>IFERROR(__xludf.DUMMYFUNCTION("""COMPUTED_VALUE"""),"ADO List 2024")</f>
        <v>ADO List 2024</v>
      </c>
      <c r="G26" s="8"/>
      <c r="H26" s="8"/>
      <c r="I26" s="9">
        <f>IFERROR(__xludf.DUMMYFUNCTION("""COMPUTED_VALUE"""),45444.0)</f>
        <v>45444</v>
      </c>
      <c r="J26" s="9">
        <f>IFERROR(__xludf.DUMMYFUNCTION("""COMPUTED_VALUE"""),46539.0)</f>
        <v>46539</v>
      </c>
      <c r="K26" s="13">
        <f>IFERROR(__xludf.DUMMYFUNCTION("""COMPUTED_VALUE"""),47635.0)</f>
        <v>47635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7" t="str">
        <f>IFERROR(__xludf.DUMMYFUNCTION("""COMPUTED_VALUE"""),"Davis")</f>
        <v>Davis</v>
      </c>
      <c r="B27" s="8" t="str">
        <f>IFERROR(__xludf.DUMMYFUNCTION("""COMPUTED_VALUE"""),"Brett")</f>
        <v>Brett</v>
      </c>
      <c r="C27" s="8" t="str">
        <f>IFERROR(__xludf.DUMMYFUNCTION("""COMPUTED_VALUE"""),"Parrish")</f>
        <v>Parrish</v>
      </c>
      <c r="D27" s="8" t="str">
        <f>IFERROR(__xludf.DUMMYFUNCTION("""COMPUTED_VALUE"""),"FL")</f>
        <v>FL</v>
      </c>
      <c r="E27" s="8" t="str">
        <f>IFERROR(__xludf.DUMMYFUNCTION("""COMPUTED_VALUE"""),"USA")</f>
        <v>USA</v>
      </c>
      <c r="F27" s="8" t="str">
        <f>IFERROR(__xludf.DUMMYFUNCTION("""COMPUTED_VALUE"""),"PRO DBLS 501")</f>
        <v>PRO DBLS 501</v>
      </c>
      <c r="G27" s="8" t="str">
        <f>IFERROR(__xludf.DUMMYFUNCTION("""COMPUTED_VALUE"""),"3RD")</f>
        <v>3RD</v>
      </c>
      <c r="H27" s="8" t="str">
        <f>IFERROR(__xludf.DUMMYFUNCTION("""COMPUTED_VALUE"""),"BULLSHOOTER 36 FINALS")</f>
        <v>BULLSHOOTER 36 FINALS</v>
      </c>
      <c r="I27" s="9">
        <f>IFERROR(__xludf.DUMMYFUNCTION("""COMPUTED_VALUE"""),44713.0)</f>
        <v>44713</v>
      </c>
      <c r="J27" s="9">
        <f>IFERROR(__xludf.DUMMYFUNCTION("""COMPUTED_VALUE"""),45809.0)</f>
        <v>45809</v>
      </c>
      <c r="K27" s="13">
        <f>IFERROR(__xludf.DUMMYFUNCTION("""COMPUTED_VALUE"""),46905.0)</f>
        <v>46905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7" t="str">
        <f>IFERROR(__xludf.DUMMYFUNCTION("""COMPUTED_VALUE"""),"De Veyra")</f>
        <v>De Veyra</v>
      </c>
      <c r="B28" s="8" t="str">
        <f>IFERROR(__xludf.DUMMYFUNCTION("""COMPUTED_VALUE"""),"Ethan")</f>
        <v>Ethan</v>
      </c>
      <c r="C28" s="8"/>
      <c r="D28" s="8"/>
      <c r="E28" s="8"/>
      <c r="F28" s="8" t="str">
        <f>IFERROR(__xludf.DUMMYFUNCTION("""COMPUTED_VALUE"""),"ADO List 2024")</f>
        <v>ADO List 2024</v>
      </c>
      <c r="G28" s="8"/>
      <c r="H28" s="8"/>
      <c r="I28" s="9">
        <f>IFERROR(__xludf.DUMMYFUNCTION("""COMPUTED_VALUE"""),45444.0)</f>
        <v>45444</v>
      </c>
      <c r="J28" s="9">
        <f>IFERROR(__xludf.DUMMYFUNCTION("""COMPUTED_VALUE"""),46539.0)</f>
        <v>46539</v>
      </c>
      <c r="K28" s="13">
        <f>IFERROR(__xludf.DUMMYFUNCTION("""COMPUTED_VALUE"""),47635.0)</f>
        <v>47635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7" t="str">
        <f>IFERROR(__xludf.DUMMYFUNCTION("""COMPUTED_VALUE"""),"Dersch")</f>
        <v>Dersch</v>
      </c>
      <c r="B29" s="8" t="str">
        <f>IFERROR(__xludf.DUMMYFUNCTION("""COMPUTED_VALUE"""),"Benjamin")</f>
        <v>Benjamin</v>
      </c>
      <c r="C29" s="8" t="str">
        <f>IFERROR(__xludf.DUMMYFUNCTION("""COMPUTED_VALUE"""),"Janesville")</f>
        <v>Janesville</v>
      </c>
      <c r="D29" s="8" t="str">
        <f>IFERROR(__xludf.DUMMYFUNCTION("""COMPUTED_VALUE"""),"WI")</f>
        <v>WI</v>
      </c>
      <c r="E29" s="8" t="str">
        <f>IFERROR(__xludf.DUMMYFUNCTION("""COMPUTED_VALUE"""),"USA")</f>
        <v>USA</v>
      </c>
      <c r="F29" s="8" t="str">
        <f>IFERROR(__xludf.DUMMYFUNCTION("""COMPUTED_VALUE"""),"Pro Luck Cricket")</f>
        <v>Pro Luck Cricket</v>
      </c>
      <c r="G29" s="8" t="str">
        <f>IFERROR(__xludf.DUMMYFUNCTION("""COMPUTED_VALUE"""),"3rd")</f>
        <v>3rd</v>
      </c>
      <c r="H29" s="8" t="str">
        <f>IFERROR(__xludf.DUMMYFUNCTION("""COMPUTED_VALUE"""),"BS 38 Finals")</f>
        <v>BS 38 Finals</v>
      </c>
      <c r="I29" s="9">
        <f>IFERROR(__xludf.DUMMYFUNCTION("""COMPUTED_VALUE"""),43617.0)</f>
        <v>43617</v>
      </c>
      <c r="J29" s="9">
        <f>IFERROR(__xludf.DUMMYFUNCTION("""COMPUTED_VALUE"""),46539.0)</f>
        <v>46539</v>
      </c>
      <c r="K29" s="13">
        <f>IFERROR(__xludf.DUMMYFUNCTION("""COMPUTED_VALUE"""),47635.0)</f>
        <v>47635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7" t="str">
        <f>IFERROR(__xludf.DUMMYFUNCTION("""COMPUTED_VALUE"""),"DREHER")</f>
        <v>DREHER</v>
      </c>
      <c r="B30" s="8" t="str">
        <f>IFERROR(__xludf.DUMMYFUNCTION("""COMPUTED_VALUE"""),"RYAN")</f>
        <v>RYAN</v>
      </c>
      <c r="C30" s="8" t="str">
        <f>IFERROR(__xludf.DUMMYFUNCTION("""COMPUTED_VALUE"""),"SCHUYLKILL HAVEN")</f>
        <v>SCHUYLKILL HAVEN</v>
      </c>
      <c r="D30" s="8" t="str">
        <f>IFERROR(__xludf.DUMMYFUNCTION("""COMPUTED_VALUE"""),"PA")</f>
        <v>PA</v>
      </c>
      <c r="E30" s="8" t="str">
        <f>IFERROR(__xludf.DUMMYFUNCTION("""COMPUTED_VALUE"""),"USA")</f>
        <v>USA</v>
      </c>
      <c r="F30" s="8" t="str">
        <f>IFERROR(__xludf.DUMMYFUNCTION("""COMPUTED_VALUE"""),"PRO/PRO AA LUCK")</f>
        <v>PRO/PRO AA LUCK</v>
      </c>
      <c r="G30" s="8" t="str">
        <f>IFERROR(__xludf.DUMMYFUNCTION("""COMPUTED_VALUE"""),"1")</f>
        <v>1</v>
      </c>
      <c r="H30" s="8" t="str">
        <f>IFERROR(__xludf.DUMMYFUNCTION("""COMPUTED_VALUE"""),"BS 37 FINALS")</f>
        <v>BS 37 FINALS</v>
      </c>
      <c r="I30" s="9">
        <f>IFERROR(__xludf.DUMMYFUNCTION("""COMPUTED_VALUE"""),45078.0)</f>
        <v>45078</v>
      </c>
      <c r="J30" s="9">
        <f>IFERROR(__xludf.DUMMYFUNCTION("""COMPUTED_VALUE"""),46174.0)</f>
        <v>46174</v>
      </c>
      <c r="K30" s="13">
        <f>IFERROR(__xludf.DUMMYFUNCTION("""COMPUTED_VALUE"""),47270.0)</f>
        <v>47270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11" t="str">
        <f>IFERROR(__xludf.DUMMYFUNCTION("""COMPUTED_VALUE"""),"EISNER")</f>
        <v>EISNER</v>
      </c>
      <c r="B31" s="12" t="str">
        <f>IFERROR(__xludf.DUMMYFUNCTION("""COMPUTED_VALUE"""),"TIMOTHY")</f>
        <v>TIMOTHY</v>
      </c>
      <c r="C31" s="12" t="str">
        <f>IFERROR(__xludf.DUMMYFUNCTION("""COMPUTED_VALUE"""),"WHITE WATER")</f>
        <v>WHITE WATER</v>
      </c>
      <c r="D31" s="12" t="str">
        <f>IFERROR(__xludf.DUMMYFUNCTION("""COMPUTED_VALUE"""),"WI")</f>
        <v>WI</v>
      </c>
      <c r="E31" s="12" t="str">
        <f>IFERROR(__xludf.DUMMYFUNCTION("""COMPUTED_VALUE"""),"USA")</f>
        <v>USA</v>
      </c>
      <c r="F31" s="12" t="str">
        <f>IFERROR(__xludf.DUMMYFUNCTION("""COMPUTED_VALUE"""),"Pro Cricket Dbls")</f>
        <v>Pro Cricket Dbls</v>
      </c>
      <c r="G31" s="12" t="str">
        <f>IFERROR(__xludf.DUMMYFUNCTION("""COMPUTED_VALUE"""),"3rd")</f>
        <v>3rd</v>
      </c>
      <c r="H31" s="12" t="str">
        <f>IFERROR(__xludf.DUMMYFUNCTION("""COMPUTED_VALUE"""),"BS 38 Finals")</f>
        <v>BS 38 Finals</v>
      </c>
      <c r="I31" s="14">
        <f>IFERROR(__xludf.DUMMYFUNCTION("""COMPUTED_VALUE"""),45078.0)</f>
        <v>45078</v>
      </c>
      <c r="J31" s="14">
        <f>IFERROR(__xludf.DUMMYFUNCTION("""COMPUTED_VALUE"""),46539.0)</f>
        <v>46539</v>
      </c>
      <c r="K31" s="13">
        <f>IFERROR(__xludf.DUMMYFUNCTION("""COMPUTED_VALUE"""),47635.0)</f>
        <v>47635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7" t="str">
        <f>IFERROR(__xludf.DUMMYFUNCTION("""COMPUTED_VALUE"""),"FERN")</f>
        <v>FERN</v>
      </c>
      <c r="B32" s="8" t="str">
        <f>IFERROR(__xludf.DUMMYFUNCTION("""COMPUTED_VALUE"""),"RANDY")</f>
        <v>RANDY</v>
      </c>
      <c r="C32" s="8" t="str">
        <f>IFERROR(__xludf.DUMMYFUNCTION("""COMPUTED_VALUE"""),"LAPORTE")</f>
        <v>LAPORTE</v>
      </c>
      <c r="D32" s="8" t="str">
        <f>IFERROR(__xludf.DUMMYFUNCTION("""COMPUTED_VALUE"""),"IN")</f>
        <v>IN</v>
      </c>
      <c r="E32" s="8" t="str">
        <f>IFERROR(__xludf.DUMMYFUNCTION("""COMPUTED_VALUE"""),"USA")</f>
        <v>USA</v>
      </c>
      <c r="F32" s="8" t="str">
        <f>IFERROR(__xludf.DUMMYFUNCTION("""COMPUTED_VALUE"""),"TopGun Pro/AA Singles")</f>
        <v>TopGun Pro/AA Singles</v>
      </c>
      <c r="G32" s="8" t="str">
        <f>IFERROR(__xludf.DUMMYFUNCTION("""COMPUTED_VALUE"""),"2nd")</f>
        <v>2nd</v>
      </c>
      <c r="H32" s="8" t="str">
        <f>IFERROR(__xludf.DUMMYFUNCTION("""COMPUTED_VALUE"""),"BS 38 Finals")</f>
        <v>BS 38 Finals</v>
      </c>
      <c r="I32" s="9">
        <f>IFERROR(__xludf.DUMMYFUNCTION("""COMPUTED_VALUE"""),45078.0)</f>
        <v>45078</v>
      </c>
      <c r="J32" s="9">
        <f>IFERROR(__xludf.DUMMYFUNCTION("""COMPUTED_VALUE"""),46539.0)</f>
        <v>46539</v>
      </c>
      <c r="K32" s="13">
        <f>IFERROR(__xludf.DUMMYFUNCTION("""COMPUTED_VALUE"""),47635.0)</f>
        <v>47635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7" t="str">
        <f>IFERROR(__xludf.DUMMYFUNCTION("""COMPUTED_VALUE"""),"Fernandez Carballo")</f>
        <v>Fernandez Carballo</v>
      </c>
      <c r="B33" s="8" t="str">
        <f>IFERROR(__xludf.DUMMYFUNCTION("""COMPUTED_VALUE"""),"Ricardo")</f>
        <v>Ricardo</v>
      </c>
      <c r="C33" s="8"/>
      <c r="D33" s="8"/>
      <c r="E33" s="8" t="str">
        <f>IFERROR(__xludf.DUMMYFUNCTION("""COMPUTED_VALUE"""),"Spain")</f>
        <v>Spain</v>
      </c>
      <c r="F33" s="8" t="str">
        <f>IFERROR(__xludf.DUMMYFUNCTION("""COMPUTED_VALUE"""),"Pro AA Cricket Dbls")</f>
        <v>Pro AA Cricket Dbls</v>
      </c>
      <c r="G33" s="8" t="str">
        <f>IFERROR(__xludf.DUMMYFUNCTION("""COMPUTED_VALUE"""),"2nd")</f>
        <v>2nd</v>
      </c>
      <c r="H33" s="8" t="str">
        <f>IFERROR(__xludf.DUMMYFUNCTION("""COMPUTED_VALUE"""),"BS 38 Finals")</f>
        <v>BS 38 Finals</v>
      </c>
      <c r="I33" s="9">
        <f>IFERROR(__xludf.DUMMYFUNCTION("""COMPUTED_VALUE"""),45444.0)</f>
        <v>45444</v>
      </c>
      <c r="J33" s="9">
        <f>IFERROR(__xludf.DUMMYFUNCTION("""COMPUTED_VALUE"""),46539.0)</f>
        <v>46539</v>
      </c>
      <c r="K33" s="13">
        <f>IFERROR(__xludf.DUMMYFUNCTION("""COMPUTED_VALUE"""),47635.0)</f>
        <v>47635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7" t="str">
        <f>IFERROR(__xludf.DUMMYFUNCTION("""COMPUTED_VALUE"""),"Fitzsimmons")</f>
        <v>Fitzsimmons</v>
      </c>
      <c r="B34" s="8" t="str">
        <f>IFERROR(__xludf.DUMMYFUNCTION("""COMPUTED_VALUE"""),"Jim")</f>
        <v>Jim</v>
      </c>
      <c r="C34" s="8"/>
      <c r="D34" s="8"/>
      <c r="E34" s="8"/>
      <c r="F34" s="8" t="str">
        <f>IFERROR(__xludf.DUMMYFUNCTION("""COMPUTED_VALUE"""),"ADO List 2024")</f>
        <v>ADO List 2024</v>
      </c>
      <c r="G34" s="8"/>
      <c r="H34" s="8"/>
      <c r="I34" s="9">
        <f>IFERROR(__xludf.DUMMYFUNCTION("""COMPUTED_VALUE"""),45444.0)</f>
        <v>45444</v>
      </c>
      <c r="J34" s="9">
        <f>IFERROR(__xludf.DUMMYFUNCTION("""COMPUTED_VALUE"""),46539.0)</f>
        <v>46539</v>
      </c>
      <c r="K34" s="13">
        <f>IFERROR(__xludf.DUMMYFUNCTION("""COMPUTED_VALUE"""),47635.0)</f>
        <v>47635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7" t="str">
        <f>IFERROR(__xludf.DUMMYFUNCTION("""COMPUTED_VALUE"""),"FLORIAN")</f>
        <v>FLORIAN</v>
      </c>
      <c r="B35" s="8" t="str">
        <f>IFERROR(__xludf.DUMMYFUNCTION("""COMPUTED_VALUE"""),"GINO")</f>
        <v>GINO</v>
      </c>
      <c r="C35" s="8" t="str">
        <f>IFERROR(__xludf.DUMMYFUNCTION("""COMPUTED_VALUE"""),"MARIETTA")</f>
        <v>MARIETTA</v>
      </c>
      <c r="D35" s="8" t="str">
        <f>IFERROR(__xludf.DUMMYFUNCTION("""COMPUTED_VALUE"""),"NY")</f>
        <v>NY</v>
      </c>
      <c r="E35" s="8" t="str">
        <f>IFERROR(__xludf.DUMMYFUNCTION("""COMPUTED_VALUE"""),"USA")</f>
        <v>USA</v>
      </c>
      <c r="F35" s="8" t="str">
        <f>IFERROR(__xludf.DUMMYFUNCTION("""COMPUTED_VALUE"""),"WDF List 2024")</f>
        <v>WDF List 2024</v>
      </c>
      <c r="G35" s="8"/>
      <c r="H35" s="8"/>
      <c r="I35" s="9">
        <f>IFERROR(__xludf.DUMMYFUNCTION("""COMPUTED_VALUE"""),45444.0)</f>
        <v>45444</v>
      </c>
      <c r="J35" s="9">
        <f>IFERROR(__xludf.DUMMYFUNCTION("""COMPUTED_VALUE"""),46539.0)</f>
        <v>46539</v>
      </c>
      <c r="K35" s="13">
        <f>IFERROR(__xludf.DUMMYFUNCTION("""COMPUTED_VALUE"""),47635.0)</f>
        <v>47635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7" t="str">
        <f>IFERROR(__xludf.DUMMYFUNCTION("""COMPUTED_VALUE"""),"Foreman")</f>
        <v>Foreman</v>
      </c>
      <c r="B36" s="8" t="str">
        <f>IFERROR(__xludf.DUMMYFUNCTION("""COMPUTED_VALUE"""),"Jon")</f>
        <v>Jon</v>
      </c>
      <c r="C36" s="8" t="str">
        <f>IFERROR(__xludf.DUMMYFUNCTION("""COMPUTED_VALUE"""),"FORT WORTH")</f>
        <v>FORT WORTH</v>
      </c>
      <c r="D36" s="8" t="str">
        <f>IFERROR(__xludf.DUMMYFUNCTION("""COMPUTED_VALUE"""),"TX")</f>
        <v>TX</v>
      </c>
      <c r="E36" s="8" t="str">
        <f>IFERROR(__xludf.DUMMYFUNCTION("""COMPUTED_VALUE"""),"USA")</f>
        <v>USA</v>
      </c>
      <c r="F36" s="8" t="str">
        <f>IFERROR(__xludf.DUMMYFUNCTION("""COMPUTED_VALUE"""),"PRO DBLS CRICKET")</f>
        <v>PRO DBLS CRICKET</v>
      </c>
      <c r="G36" s="8" t="str">
        <f>IFERROR(__xludf.DUMMYFUNCTION("""COMPUTED_VALUE"""),"3RD")</f>
        <v>3RD</v>
      </c>
      <c r="H36" s="8" t="str">
        <f>IFERROR(__xludf.DUMMYFUNCTION("""COMPUTED_VALUE"""),"BULLSHOOTER 36 FINALS")</f>
        <v>BULLSHOOTER 36 FINALS</v>
      </c>
      <c r="I36" s="9">
        <f>IFERROR(__xludf.DUMMYFUNCTION("""COMPUTED_VALUE"""),44713.0)</f>
        <v>44713</v>
      </c>
      <c r="J36" s="9">
        <f>IFERROR(__xludf.DUMMYFUNCTION("""COMPUTED_VALUE"""),45809.0)</f>
        <v>45809</v>
      </c>
      <c r="K36" s="13">
        <f>IFERROR(__xludf.DUMMYFUNCTION("""COMPUTED_VALUE"""),46905.0)</f>
        <v>46905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7" t="str">
        <f>IFERROR(__xludf.DUMMYFUNCTION("""COMPUTED_VALUE"""),"GARCIA")</f>
        <v>GARCIA</v>
      </c>
      <c r="B37" s="8" t="str">
        <f>IFERROR(__xludf.DUMMYFUNCTION("""COMPUTED_VALUE"""),"DEL")</f>
        <v>DEL</v>
      </c>
      <c r="C37" s="8" t="str">
        <f>IFERROR(__xludf.DUMMYFUNCTION("""COMPUTED_VALUE"""),"BARCELON")</f>
        <v>BARCELON</v>
      </c>
      <c r="D37" s="8"/>
      <c r="E37" s="8" t="str">
        <f>IFERROR(__xludf.DUMMYFUNCTION("""COMPUTED_VALUE"""),"SPAIN")</f>
        <v>SPAIN</v>
      </c>
      <c r="F37" s="8" t="str">
        <f>IFERROR(__xludf.DUMMYFUNCTION("""COMPUTED_VALUE"""),"PRO AA 501 DBLS")</f>
        <v>PRO AA 501 DBLS</v>
      </c>
      <c r="G37" s="8" t="str">
        <f>IFERROR(__xludf.DUMMYFUNCTION("""COMPUTED_VALUE"""),"4")</f>
        <v>4</v>
      </c>
      <c r="H37" s="8" t="str">
        <f>IFERROR(__xludf.DUMMYFUNCTION("""COMPUTED_VALUE"""),"BS 37 FINALS")</f>
        <v>BS 37 FINALS</v>
      </c>
      <c r="I37" s="9">
        <f>IFERROR(__xludf.DUMMYFUNCTION("""COMPUTED_VALUE"""),45078.0)</f>
        <v>45078</v>
      </c>
      <c r="J37" s="9">
        <f>IFERROR(__xludf.DUMMYFUNCTION("""COMPUTED_VALUE"""),46174.0)</f>
        <v>46174</v>
      </c>
      <c r="K37" s="13">
        <f>IFERROR(__xludf.DUMMYFUNCTION("""COMPUTED_VALUE"""),47270.0)</f>
        <v>47270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7" t="str">
        <f>IFERROR(__xludf.DUMMYFUNCTION("""COMPUTED_VALUE"""),"GATES")</f>
        <v>GATES</v>
      </c>
      <c r="B38" s="8" t="str">
        <f>IFERROR(__xludf.DUMMYFUNCTION("""COMPUTED_VALUE"""),"LEONARD")</f>
        <v>LEONARD</v>
      </c>
      <c r="C38" s="8" t="str">
        <f>IFERROR(__xludf.DUMMYFUNCTION("""COMPUTED_VALUE"""),"SAN ANTONIO")</f>
        <v>SAN ANTONIO</v>
      </c>
      <c r="D38" s="8" t="str">
        <f>IFERROR(__xludf.DUMMYFUNCTION("""COMPUTED_VALUE"""),"TX")</f>
        <v>TX</v>
      </c>
      <c r="E38" s="8" t="str">
        <f>IFERROR(__xludf.DUMMYFUNCTION("""COMPUTED_VALUE"""),"USA")</f>
        <v>USA</v>
      </c>
      <c r="F38" s="8" t="str">
        <f>IFERROR(__xludf.DUMMYFUNCTION("""COMPUTED_VALUE"""),"Pro AA 501 Singles")</f>
        <v>Pro AA 501 Singles</v>
      </c>
      <c r="G38" s="8" t="str">
        <f>IFERROR(__xludf.DUMMYFUNCTION("""COMPUTED_VALUE"""),"1st")</f>
        <v>1st</v>
      </c>
      <c r="H38" s="8" t="str">
        <f>IFERROR(__xludf.DUMMYFUNCTION("""COMPUTED_VALUE"""),"BS 38 Finals")</f>
        <v>BS 38 Finals</v>
      </c>
      <c r="I38" s="9">
        <f>IFERROR(__xludf.DUMMYFUNCTION("""COMPUTED_VALUE"""),45078.0)</f>
        <v>45078</v>
      </c>
      <c r="J38" s="9">
        <f>IFERROR(__xludf.DUMMYFUNCTION("""COMPUTED_VALUE"""),46539.0)</f>
        <v>46539</v>
      </c>
      <c r="K38" s="13">
        <f>IFERROR(__xludf.DUMMYFUNCTION("""COMPUTED_VALUE"""),47635.0)</f>
        <v>47635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7" t="str">
        <f>IFERROR(__xludf.DUMMYFUNCTION("""COMPUTED_VALUE"""),"GEORGE")</f>
        <v>GEORGE</v>
      </c>
      <c r="B39" s="8" t="str">
        <f>IFERROR(__xludf.DUMMYFUNCTION("""COMPUTED_VALUE"""),"CULLEN")</f>
        <v>CULLEN</v>
      </c>
      <c r="C39" s="8" t="str">
        <f>IFERROR(__xludf.DUMMYFUNCTION("""COMPUTED_VALUE"""),"ROCK ISLAND")</f>
        <v>ROCK ISLAND</v>
      </c>
      <c r="D39" s="8" t="str">
        <f>IFERROR(__xludf.DUMMYFUNCTION("""COMPUTED_VALUE"""),"IL")</f>
        <v>IL</v>
      </c>
      <c r="E39" s="8" t="str">
        <f>IFERROR(__xludf.DUMMYFUNCTION("""COMPUTED_VALUE"""),"USA")</f>
        <v>USA</v>
      </c>
      <c r="F39" s="8" t="str">
        <f>IFERROR(__xludf.DUMMYFUNCTION("""COMPUTED_VALUE"""),"Pro AA 501 Singles")</f>
        <v>Pro AA 501 Singles</v>
      </c>
      <c r="G39" s="8" t="str">
        <f>IFERROR(__xludf.DUMMYFUNCTION("""COMPUTED_VALUE"""),"3rd")</f>
        <v>3rd</v>
      </c>
      <c r="H39" s="8" t="str">
        <f>IFERROR(__xludf.DUMMYFUNCTION("""COMPUTED_VALUE"""),"BS 38 Finals")</f>
        <v>BS 38 Finals</v>
      </c>
      <c r="I39" s="9">
        <f>IFERROR(__xludf.DUMMYFUNCTION("""COMPUTED_VALUE"""),45078.0)</f>
        <v>45078</v>
      </c>
      <c r="J39" s="9">
        <f>IFERROR(__xludf.DUMMYFUNCTION("""COMPUTED_VALUE"""),46539.0)</f>
        <v>46539</v>
      </c>
      <c r="K39" s="13">
        <f>IFERROR(__xludf.DUMMYFUNCTION("""COMPUTED_VALUE"""),47635.0)</f>
        <v>47635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7" t="str">
        <f>IFERROR(__xludf.DUMMYFUNCTION("""COMPUTED_VALUE"""),"GEORGESON")</f>
        <v>GEORGESON</v>
      </c>
      <c r="B40" s="8" t="str">
        <f>IFERROR(__xludf.DUMMYFUNCTION("""COMPUTED_VALUE"""),"NICHOLAS")</f>
        <v>NICHOLAS</v>
      </c>
      <c r="C40" s="8" t="str">
        <f>IFERROR(__xludf.DUMMYFUNCTION("""COMPUTED_VALUE"""),"GURNEE")</f>
        <v>GURNEE</v>
      </c>
      <c r="D40" s="8" t="str">
        <f>IFERROR(__xludf.DUMMYFUNCTION("""COMPUTED_VALUE"""),"IL")</f>
        <v>IL</v>
      </c>
      <c r="E40" s="8" t="str">
        <f>IFERROR(__xludf.DUMMYFUNCTION("""COMPUTED_VALUE"""),"USA")</f>
        <v>USA</v>
      </c>
      <c r="F40" s="8" t="str">
        <f>IFERROR(__xludf.DUMMYFUNCTION("""COMPUTED_VALUE"""),"TOPGUN PRO TRIPLES")</f>
        <v>TOPGUN PRO TRIPLES</v>
      </c>
      <c r="G40" s="8" t="str">
        <f>IFERROR(__xludf.DUMMYFUNCTION("""COMPUTED_VALUE"""),"3 4")</f>
        <v>3 4</v>
      </c>
      <c r="H40" s="8" t="str">
        <f>IFERROR(__xludf.DUMMYFUNCTION("""COMPUTED_VALUE"""),"BS 37 FINALS")</f>
        <v>BS 37 FINALS</v>
      </c>
      <c r="I40" s="9">
        <f>IFERROR(__xludf.DUMMYFUNCTION("""COMPUTED_VALUE"""),45078.0)</f>
        <v>45078</v>
      </c>
      <c r="J40" s="9">
        <f>IFERROR(__xludf.DUMMYFUNCTION("""COMPUTED_VALUE"""),46174.0)</f>
        <v>46174</v>
      </c>
      <c r="K40" s="13">
        <f>IFERROR(__xludf.DUMMYFUNCTION("""COMPUTED_VALUE"""),47270.0)</f>
        <v>47270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7" t="str">
        <f>IFERROR(__xludf.DUMMYFUNCTION("""COMPUTED_VALUE"""),"GREGORY")</f>
        <v>GREGORY</v>
      </c>
      <c r="B41" s="8" t="str">
        <f>IFERROR(__xludf.DUMMYFUNCTION("""COMPUTED_VALUE"""),"ERIC")</f>
        <v>ERIC</v>
      </c>
      <c r="C41" s="8" t="str">
        <f>IFERROR(__xludf.DUMMYFUNCTION("""COMPUTED_VALUE"""),"ST LOUIS")</f>
        <v>ST LOUIS</v>
      </c>
      <c r="D41" s="8" t="str">
        <f>IFERROR(__xludf.DUMMYFUNCTION("""COMPUTED_VALUE"""),"MO")</f>
        <v>MO</v>
      </c>
      <c r="E41" s="8" t="str">
        <f>IFERROR(__xludf.DUMMYFUNCTION("""COMPUTED_VALUE"""),"USA")</f>
        <v>USA</v>
      </c>
      <c r="F41" s="8" t="str">
        <f>IFERROR(__xludf.DUMMYFUNCTION("""COMPUTED_VALUE"""),"PRO AA CRICKET DBLS")</f>
        <v>PRO AA CRICKET DBLS</v>
      </c>
      <c r="G41" s="8" t="str">
        <f>IFERROR(__xludf.DUMMYFUNCTION("""COMPUTED_VALUE"""),"4")</f>
        <v>4</v>
      </c>
      <c r="H41" s="8" t="str">
        <f>IFERROR(__xludf.DUMMYFUNCTION("""COMPUTED_VALUE"""),"BS 37 FINALS")</f>
        <v>BS 37 FINALS</v>
      </c>
      <c r="I41" s="9">
        <f>IFERROR(__xludf.DUMMYFUNCTION("""COMPUTED_VALUE"""),45078.0)</f>
        <v>45078</v>
      </c>
      <c r="J41" s="9">
        <f>IFERROR(__xludf.DUMMYFUNCTION("""COMPUTED_VALUE"""),46174.0)</f>
        <v>46174</v>
      </c>
      <c r="K41" s="13">
        <f>IFERROR(__xludf.DUMMYFUNCTION("""COMPUTED_VALUE"""),47270.0)</f>
        <v>47270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7" t="str">
        <f>IFERROR(__xludf.DUMMYFUNCTION("""COMPUTED_VALUE"""),"HANSEN")</f>
        <v>HANSEN</v>
      </c>
      <c r="B42" s="8" t="str">
        <f>IFERROR(__xludf.DUMMYFUNCTION("""COMPUTED_VALUE"""),"IAN")</f>
        <v>IAN</v>
      </c>
      <c r="C42" s="8" t="str">
        <f>IFERROR(__xludf.DUMMYFUNCTION("""COMPUTED_VALUE"""),"CAPE CORAL")</f>
        <v>CAPE CORAL</v>
      </c>
      <c r="D42" s="8" t="str">
        <f>IFERROR(__xludf.DUMMYFUNCTION("""COMPUTED_VALUE"""),"FL")</f>
        <v>FL</v>
      </c>
      <c r="E42" s="8" t="str">
        <f>IFERROR(__xludf.DUMMYFUNCTION("""COMPUTED_VALUE"""),"USA")</f>
        <v>USA</v>
      </c>
      <c r="F42" s="8" t="str">
        <f>IFERROR(__xludf.DUMMYFUNCTION("""COMPUTED_VALUE"""),"PRO DBLS 501")</f>
        <v>PRO DBLS 501</v>
      </c>
      <c r="G42" s="8" t="str">
        <f>IFERROR(__xludf.DUMMYFUNCTION("""COMPUTED_VALUE"""),"4TH")</f>
        <v>4TH</v>
      </c>
      <c r="H42" s="8" t="str">
        <f>IFERROR(__xludf.DUMMYFUNCTION("""COMPUTED_VALUE"""),"BULLSHOOTER 36 FINALS")</f>
        <v>BULLSHOOTER 36 FINALS</v>
      </c>
      <c r="I42" s="9">
        <f>IFERROR(__xludf.DUMMYFUNCTION("""COMPUTED_VALUE"""),44713.0)</f>
        <v>44713</v>
      </c>
      <c r="J42" s="9">
        <f>IFERROR(__xludf.DUMMYFUNCTION("""COMPUTED_VALUE"""),45809.0)</f>
        <v>45809</v>
      </c>
      <c r="K42" s="13">
        <f>IFERROR(__xludf.DUMMYFUNCTION("""COMPUTED_VALUE"""),47270.0)</f>
        <v>47270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7" t="str">
        <f>IFERROR(__xludf.DUMMYFUNCTION("""COMPUTED_VALUE"""),"HENRY")</f>
        <v>HENRY</v>
      </c>
      <c r="B43" s="8" t="str">
        <f>IFERROR(__xludf.DUMMYFUNCTION("""COMPUTED_VALUE"""),"JEROD")</f>
        <v>JEROD</v>
      </c>
      <c r="C43" s="8" t="str">
        <f>IFERROR(__xludf.DUMMYFUNCTION("""COMPUTED_VALUE"""),"POLO")</f>
        <v>POLO</v>
      </c>
      <c r="D43" s="8" t="str">
        <f>IFERROR(__xludf.DUMMYFUNCTION("""COMPUTED_VALUE"""),"IL")</f>
        <v>IL</v>
      </c>
      <c r="E43" s="8" t="str">
        <f>IFERROR(__xludf.DUMMYFUNCTION("""COMPUTED_VALUE"""),"USA")</f>
        <v>USA</v>
      </c>
      <c r="F43" s="8" t="str">
        <f>IFERROR(__xludf.DUMMYFUNCTION("""COMPUTED_VALUE"""),"Pro/Pro AA Mix Cricket")</f>
        <v>Pro/Pro AA Mix Cricket</v>
      </c>
      <c r="G43" s="8" t="str">
        <f>IFERROR(__xludf.DUMMYFUNCTION("""COMPUTED_VALUE"""),"3rd")</f>
        <v>3rd</v>
      </c>
      <c r="H43" s="8" t="str">
        <f>IFERROR(__xludf.DUMMYFUNCTION("""COMPUTED_VALUE"""),"BS 38 Finals")</f>
        <v>BS 38 Finals</v>
      </c>
      <c r="I43" s="9">
        <f>IFERROR(__xludf.DUMMYFUNCTION("""COMPUTED_VALUE"""),44713.0)</f>
        <v>44713</v>
      </c>
      <c r="J43" s="9">
        <f>IFERROR(__xludf.DUMMYFUNCTION("""COMPUTED_VALUE"""),46539.0)</f>
        <v>46539</v>
      </c>
      <c r="K43" s="13">
        <f>IFERROR(__xludf.DUMMYFUNCTION("""COMPUTED_VALUE"""),47635.0)</f>
        <v>47635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11" t="str">
        <f>IFERROR(__xludf.DUMMYFUNCTION("""COMPUTED_VALUE"""),"HENZE III")</f>
        <v>HENZE III</v>
      </c>
      <c r="B44" s="12" t="str">
        <f>IFERROR(__xludf.DUMMYFUNCTION("""COMPUTED_VALUE"""),"RICH")</f>
        <v>RICH</v>
      </c>
      <c r="C44" s="12" t="str">
        <f>IFERROR(__xludf.DUMMYFUNCTION("""COMPUTED_VALUE"""),"LITTLE FALLS")</f>
        <v>LITTLE FALLS</v>
      </c>
      <c r="D44" s="12" t="str">
        <f>IFERROR(__xludf.DUMMYFUNCTION("""COMPUTED_VALUE"""),"MN")</f>
        <v>MN</v>
      </c>
      <c r="E44" s="12" t="str">
        <f>IFERROR(__xludf.DUMMYFUNCTION("""COMPUTED_VALUE"""),"USA")</f>
        <v>USA</v>
      </c>
      <c r="F44" s="12" t="str">
        <f>IFERROR(__xludf.DUMMYFUNCTION("""COMPUTED_VALUE"""),"Pro AA 501 Dbls")</f>
        <v>Pro AA 501 Dbls</v>
      </c>
      <c r="G44" s="12" t="str">
        <f>IFERROR(__xludf.DUMMYFUNCTION("""COMPUTED_VALUE"""),"3rd")</f>
        <v>3rd</v>
      </c>
      <c r="H44" s="12" t="str">
        <f>IFERROR(__xludf.DUMMYFUNCTION("""COMPUTED_VALUE"""),"BS 38 Finals")</f>
        <v>BS 38 Finals</v>
      </c>
      <c r="I44" s="14">
        <f>IFERROR(__xludf.DUMMYFUNCTION("""COMPUTED_VALUE"""),45078.0)</f>
        <v>45078</v>
      </c>
      <c r="J44" s="14">
        <f>IFERROR(__xludf.DUMMYFUNCTION("""COMPUTED_VALUE"""),46539.0)</f>
        <v>46539</v>
      </c>
      <c r="K44" s="13">
        <f>IFERROR(__xludf.DUMMYFUNCTION("""COMPUTED_VALUE"""),47635.0)</f>
        <v>47635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7" t="str">
        <f>IFERROR(__xludf.DUMMYFUNCTION("""COMPUTED_VALUE"""),"HOLMES")</f>
        <v>HOLMES</v>
      </c>
      <c r="B45" s="8" t="str">
        <f>IFERROR(__xludf.DUMMYFUNCTION("""COMPUTED_VALUE"""),"TYLER")</f>
        <v>TYLER</v>
      </c>
      <c r="C45" s="8" t="str">
        <f>IFERROR(__xludf.DUMMYFUNCTION("""COMPUTED_VALUE"""),"CAPE GIRARDEU")</f>
        <v>CAPE GIRARDEU</v>
      </c>
      <c r="D45" s="8" t="str">
        <f>IFERROR(__xludf.DUMMYFUNCTION("""COMPUTED_VALUE"""),"MO")</f>
        <v>MO</v>
      </c>
      <c r="E45" s="8" t="str">
        <f>IFERROR(__xludf.DUMMYFUNCTION("""COMPUTED_VALUE"""),"USA")</f>
        <v>USA</v>
      </c>
      <c r="F45" s="8" t="str">
        <f>IFERROR(__xludf.DUMMYFUNCTION("""COMPUTED_VALUE"""),"PRO DBLS 501")</f>
        <v>PRO DBLS 501</v>
      </c>
      <c r="G45" s="8" t="str">
        <f>IFERROR(__xludf.DUMMYFUNCTION("""COMPUTED_VALUE"""),"3RD")</f>
        <v>3RD</v>
      </c>
      <c r="H45" s="8" t="str">
        <f>IFERROR(__xludf.DUMMYFUNCTION("""COMPUTED_VALUE"""),"BULLSHOOTER 36 FINALS")</f>
        <v>BULLSHOOTER 36 FINALS</v>
      </c>
      <c r="I45" s="9">
        <f>IFERROR(__xludf.DUMMYFUNCTION("""COMPUTED_VALUE"""),44713.0)</f>
        <v>44713</v>
      </c>
      <c r="J45" s="9">
        <f>IFERROR(__xludf.DUMMYFUNCTION("""COMPUTED_VALUE"""),45809.0)</f>
        <v>45809</v>
      </c>
      <c r="K45" s="13">
        <f>IFERROR(__xludf.DUMMYFUNCTION("""COMPUTED_VALUE"""),46905.0)</f>
        <v>46905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7" t="str">
        <f>IFERROR(__xludf.DUMMYFUNCTION("""COMPUTED_VALUE"""),"HOLT")</f>
        <v>HOLT</v>
      </c>
      <c r="B46" s="8" t="str">
        <f>IFERROR(__xludf.DUMMYFUNCTION("""COMPUTED_VALUE"""),"DUSTIN")</f>
        <v>DUSTIN</v>
      </c>
      <c r="C46" s="8" t="str">
        <f>IFERROR(__xludf.DUMMYFUNCTION("""COMPUTED_VALUE"""),"OKC")</f>
        <v>OKC</v>
      </c>
      <c r="D46" s="8" t="str">
        <f>IFERROR(__xludf.DUMMYFUNCTION("""COMPUTED_VALUE"""),"OK")</f>
        <v>OK</v>
      </c>
      <c r="E46" s="8" t="str">
        <f>IFERROR(__xludf.DUMMYFUNCTION("""COMPUTED_VALUE"""),"USA")</f>
        <v>USA</v>
      </c>
      <c r="F46" s="8" t="str">
        <f>IFERROR(__xludf.DUMMYFUNCTION("""COMPUTED_VALUE"""),"Pro AA 501 Dbls")</f>
        <v>Pro AA 501 Dbls</v>
      </c>
      <c r="G46" s="8" t="str">
        <f>IFERROR(__xludf.DUMMYFUNCTION("""COMPUTED_VALUE"""),"4th")</f>
        <v>4th</v>
      </c>
      <c r="H46" s="8" t="str">
        <f>IFERROR(__xludf.DUMMYFUNCTION("""COMPUTED_VALUE"""),"BS 38 Finals")</f>
        <v>BS 38 Finals</v>
      </c>
      <c r="I46" s="9">
        <f>IFERROR(__xludf.DUMMYFUNCTION("""COMPUTED_VALUE"""),45078.0)</f>
        <v>45078</v>
      </c>
      <c r="J46" s="9">
        <f>IFERROR(__xludf.DUMMYFUNCTION("""COMPUTED_VALUE"""),46539.0)</f>
        <v>46539</v>
      </c>
      <c r="K46" s="13">
        <f>IFERROR(__xludf.DUMMYFUNCTION("""COMPUTED_VALUE"""),47635.0)</f>
        <v>47635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7" t="str">
        <f>IFERROR(__xludf.DUMMYFUNCTION("""COMPUTED_VALUE"""),"HUNTER")</f>
        <v>HUNTER</v>
      </c>
      <c r="B47" s="8" t="str">
        <f>IFERROR(__xludf.DUMMYFUNCTION("""COMPUTED_VALUE"""),"DEVIN")</f>
        <v>DEVIN</v>
      </c>
      <c r="C47" s="8" t="str">
        <f>IFERROR(__xludf.DUMMYFUNCTION("""COMPUTED_VALUE"""),"SIOUX FALLS")</f>
        <v>SIOUX FALLS</v>
      </c>
      <c r="D47" s="8" t="str">
        <f>IFERROR(__xludf.DUMMYFUNCTION("""COMPUTED_VALUE"""),"SD")</f>
        <v>SD</v>
      </c>
      <c r="E47" s="8" t="str">
        <f>IFERROR(__xludf.DUMMYFUNCTION("""COMPUTED_VALUE"""),"USA")</f>
        <v>USA</v>
      </c>
      <c r="F47" s="8" t="str">
        <f>IFERROR(__xludf.DUMMYFUNCTION("""COMPUTED_VALUE"""),"PRO 501 DBLS")</f>
        <v>PRO 501 DBLS</v>
      </c>
      <c r="G47" s="8" t="str">
        <f>IFERROR(__xludf.DUMMYFUNCTION("""COMPUTED_VALUE"""),"4")</f>
        <v>4</v>
      </c>
      <c r="H47" s="8" t="str">
        <f>IFERROR(__xludf.DUMMYFUNCTION("""COMPUTED_VALUE"""),"BS 37 FINALS")</f>
        <v>BS 37 FINALS</v>
      </c>
      <c r="I47" s="9">
        <f>IFERROR(__xludf.DUMMYFUNCTION("""COMPUTED_VALUE"""),45078.0)</f>
        <v>45078</v>
      </c>
      <c r="J47" s="9">
        <f>IFERROR(__xludf.DUMMYFUNCTION("""COMPUTED_VALUE"""),46174.0)</f>
        <v>46174</v>
      </c>
      <c r="K47" s="13">
        <f>IFERROR(__xludf.DUMMYFUNCTION("""COMPUTED_VALUE"""),47270.0)</f>
        <v>47270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7" t="str">
        <f>IFERROR(__xludf.DUMMYFUNCTION("""COMPUTED_VALUE"""),"Jalbert")</f>
        <v>Jalbert</v>
      </c>
      <c r="B48" s="8" t="str">
        <f>IFERROR(__xludf.DUMMYFUNCTION("""COMPUTED_VALUE"""),"Aaaron")</f>
        <v>Aaaron</v>
      </c>
      <c r="C48" s="8"/>
      <c r="D48" s="8"/>
      <c r="E48" s="8" t="str">
        <f>IFERROR(__xludf.DUMMYFUNCTION("""COMPUTED_VALUE"""),"USA")</f>
        <v>USA</v>
      </c>
      <c r="F48" s="8" t="str">
        <f>IFERROR(__xludf.DUMMYFUNCTION("""COMPUTED_VALUE"""),"ADO List 2024")</f>
        <v>ADO List 2024</v>
      </c>
      <c r="G48" s="8"/>
      <c r="H48" s="8"/>
      <c r="I48" s="9">
        <f>IFERROR(__xludf.DUMMYFUNCTION("""COMPUTED_VALUE"""),45444.0)</f>
        <v>45444</v>
      </c>
      <c r="J48" s="9">
        <f>IFERROR(__xludf.DUMMYFUNCTION("""COMPUTED_VALUE"""),46539.0)</f>
        <v>46539</v>
      </c>
      <c r="K48" s="13">
        <f>IFERROR(__xludf.DUMMYFUNCTION("""COMPUTED_VALUE"""),47635.0)</f>
        <v>47635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7" t="str">
        <f>IFERROR(__xludf.DUMMYFUNCTION("""COMPUTED_VALUE"""),"Jenkins")</f>
        <v>Jenkins</v>
      </c>
      <c r="B49" s="8" t="str">
        <f>IFERROR(__xludf.DUMMYFUNCTION("""COMPUTED_VALUE"""),"Johnny Lee")</f>
        <v>Johnny Lee</v>
      </c>
      <c r="C49" s="8" t="str">
        <f>IFERROR(__xludf.DUMMYFUNCTION("""COMPUTED_VALUE"""),"Rochester")</f>
        <v>Rochester</v>
      </c>
      <c r="D49" s="8" t="str">
        <f>IFERROR(__xludf.DUMMYFUNCTION("""COMPUTED_VALUE"""),"NY")</f>
        <v>NY</v>
      </c>
      <c r="E49" s="8" t="str">
        <f>IFERROR(__xludf.DUMMYFUNCTION("""COMPUTED_VALUE"""),"USA")</f>
        <v>USA</v>
      </c>
      <c r="F49" s="8" t="str">
        <f>IFERROR(__xludf.DUMMYFUNCTION("""COMPUTED_VALUE"""),"Known Pro")</f>
        <v>Known Pro</v>
      </c>
      <c r="G49" s="8"/>
      <c r="H49" s="8" t="str">
        <f>IFERROR(__xludf.DUMMYFUNCTION("""COMPUTED_VALUE"""),"Known Ability")</f>
        <v>Known Ability</v>
      </c>
      <c r="I49" s="9">
        <f>IFERROR(__xludf.DUMMYFUNCTION("""COMPUTED_VALUE"""),36892.0)</f>
        <v>36892</v>
      </c>
      <c r="J49" s="9"/>
      <c r="K49" s="13">
        <f>IFERROR(__xludf.DUMMYFUNCTION("""COMPUTED_VALUE"""),47635.0)</f>
        <v>47635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7" t="str">
        <f>IFERROR(__xludf.DUMMYFUNCTION("""COMPUTED_VALUE"""),"Johnson")</f>
        <v>Johnson</v>
      </c>
      <c r="B50" s="8" t="str">
        <f>IFERROR(__xludf.DUMMYFUNCTION("""COMPUTED_VALUE"""),"Travis")</f>
        <v>Travis</v>
      </c>
      <c r="C50" s="8"/>
      <c r="D50" s="8"/>
      <c r="E50" s="8" t="str">
        <f>IFERROR(__xludf.DUMMYFUNCTION("""COMPUTED_VALUE"""),"USA")</f>
        <v>USA</v>
      </c>
      <c r="F50" s="8" t="str">
        <f>IFERROR(__xludf.DUMMYFUNCTION("""COMPUTED_VALUE"""),"TopGun Pro Mixed")</f>
        <v>TopGun Pro Mixed</v>
      </c>
      <c r="G50" s="8" t="str">
        <f>IFERROR(__xludf.DUMMYFUNCTION("""COMPUTED_VALUE"""),"3-4th")</f>
        <v>3-4th</v>
      </c>
      <c r="H50" s="8" t="str">
        <f>IFERROR(__xludf.DUMMYFUNCTION("""COMPUTED_VALUE"""),"BS 38 Finals")</f>
        <v>BS 38 Finals</v>
      </c>
      <c r="I50" s="9">
        <f>IFERROR(__xludf.DUMMYFUNCTION("""COMPUTED_VALUE"""),45444.0)</f>
        <v>45444</v>
      </c>
      <c r="J50" s="9">
        <f>IFERROR(__xludf.DUMMYFUNCTION("""COMPUTED_VALUE"""),46174.0)</f>
        <v>46174</v>
      </c>
      <c r="K50" s="13">
        <f>IFERROR(__xludf.DUMMYFUNCTION("""COMPUTED_VALUE"""),47270.0)</f>
        <v>47270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7" t="str">
        <f>IFERROR(__xludf.DUMMYFUNCTION("""COMPUTED_VALUE"""),"Jones")</f>
        <v>Jones</v>
      </c>
      <c r="B51" s="8" t="str">
        <f>IFERROR(__xludf.DUMMYFUNCTION("""COMPUTED_VALUE"""),"Jimmie")</f>
        <v>Jimmie</v>
      </c>
      <c r="C51" s="8"/>
      <c r="D51" s="8"/>
      <c r="E51" s="8"/>
      <c r="F51" s="8" t="str">
        <f>IFERROR(__xludf.DUMMYFUNCTION("""COMPUTED_VALUE"""),"ADO List 2024")</f>
        <v>ADO List 2024</v>
      </c>
      <c r="G51" s="8"/>
      <c r="H51" s="8"/>
      <c r="I51" s="9">
        <f>IFERROR(__xludf.DUMMYFUNCTION("""COMPUTED_VALUE"""),45444.0)</f>
        <v>45444</v>
      </c>
      <c r="J51" s="9">
        <f>IFERROR(__xludf.DUMMYFUNCTION("""COMPUTED_VALUE"""),46539.0)</f>
        <v>46539</v>
      </c>
      <c r="K51" s="13">
        <f>IFERROR(__xludf.DUMMYFUNCTION("""COMPUTED_VALUE"""),47635.0)</f>
        <v>47635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7" t="str">
        <f>IFERROR(__xludf.DUMMYFUNCTION("""COMPUTED_VALUE"""),"KIEPER")</f>
        <v>KIEPER</v>
      </c>
      <c r="B52" s="8" t="str">
        <f>IFERROR(__xludf.DUMMYFUNCTION("""COMPUTED_VALUE"""),"GARY")</f>
        <v>GARY</v>
      </c>
      <c r="C52" s="8" t="str">
        <f>IFERROR(__xludf.DUMMYFUNCTION("""COMPUTED_VALUE"""),"WINNEBAGO")</f>
        <v>WINNEBAGO</v>
      </c>
      <c r="D52" s="8" t="str">
        <f>IFERROR(__xludf.DUMMYFUNCTION("""COMPUTED_VALUE"""),"IL")</f>
        <v>IL</v>
      </c>
      <c r="E52" s="8" t="str">
        <f>IFERROR(__xludf.DUMMYFUNCTION("""COMPUTED_VALUE"""),"USA")</f>
        <v>USA</v>
      </c>
      <c r="F52" s="8" t="str">
        <f>IFERROR(__xludf.DUMMYFUNCTION("""COMPUTED_VALUE"""),"PRO MEN SINGLES")</f>
        <v>PRO MEN SINGLES</v>
      </c>
      <c r="G52" s="8" t="str">
        <f>IFERROR(__xludf.DUMMYFUNCTION("""COMPUTED_VALUE"""),"2")</f>
        <v>2</v>
      </c>
      <c r="H52" s="8" t="str">
        <f>IFERROR(__xludf.DUMMYFUNCTION("""COMPUTED_VALUE"""),"BS 37 FINALS")</f>
        <v>BS 37 FINALS</v>
      </c>
      <c r="I52" s="9">
        <f>IFERROR(__xludf.DUMMYFUNCTION("""COMPUTED_VALUE"""),45078.0)</f>
        <v>45078</v>
      </c>
      <c r="J52" s="9">
        <f>IFERROR(__xludf.DUMMYFUNCTION("""COMPUTED_VALUE"""),46174.0)</f>
        <v>46174</v>
      </c>
      <c r="K52" s="13">
        <f>IFERROR(__xludf.DUMMYFUNCTION("""COMPUTED_VALUE"""),47270.0)</f>
        <v>47270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7" t="str">
        <f>IFERROR(__xludf.DUMMYFUNCTION("""COMPUTED_VALUE"""),"KIRKENDALL")</f>
        <v>KIRKENDALL</v>
      </c>
      <c r="B53" s="8" t="str">
        <f>IFERROR(__xludf.DUMMYFUNCTION("""COMPUTED_VALUE"""),"JERMAINE")</f>
        <v>JERMAINE</v>
      </c>
      <c r="C53" s="8" t="str">
        <f>IFERROR(__xludf.DUMMYFUNCTION("""COMPUTED_VALUE"""),"LORAINE")</f>
        <v>LORAINE</v>
      </c>
      <c r="D53" s="8" t="str">
        <f>IFERROR(__xludf.DUMMYFUNCTION("""COMPUTED_VALUE"""),"OH")</f>
        <v>OH</v>
      </c>
      <c r="E53" s="8" t="str">
        <f>IFERROR(__xludf.DUMMYFUNCTION("""COMPUTED_VALUE"""),"USA")</f>
        <v>USA</v>
      </c>
      <c r="F53" s="8" t="str">
        <f>IFERROR(__xludf.DUMMYFUNCTION("""COMPUTED_VALUE"""),"Pro 501 Dbls")</f>
        <v>Pro 501 Dbls</v>
      </c>
      <c r="G53" s="8" t="str">
        <f>IFERROR(__xludf.DUMMYFUNCTION("""COMPUTED_VALUE"""),"4th")</f>
        <v>4th</v>
      </c>
      <c r="H53" s="8" t="str">
        <f>IFERROR(__xludf.DUMMYFUNCTION("""COMPUTED_VALUE"""),"BS 38 Finals")</f>
        <v>BS 38 Finals</v>
      </c>
      <c r="I53" s="9">
        <f>IFERROR(__xludf.DUMMYFUNCTION("""COMPUTED_VALUE"""),45444.0)</f>
        <v>45444</v>
      </c>
      <c r="J53" s="9">
        <f>IFERROR(__xludf.DUMMYFUNCTION("""COMPUTED_VALUE"""),46539.0)</f>
        <v>46539</v>
      </c>
      <c r="K53" s="13">
        <f>IFERROR(__xludf.DUMMYFUNCTION("""COMPUTED_VALUE"""),47635.0)</f>
        <v>47635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7" t="str">
        <f>IFERROR(__xludf.DUMMYFUNCTION("""COMPUTED_VALUE"""),"Kithi")</f>
        <v>Kithi</v>
      </c>
      <c r="B54" s="8" t="str">
        <f>IFERROR(__xludf.DUMMYFUNCTION("""COMPUTED_VALUE"""),"Patrick")</f>
        <v>Patrick</v>
      </c>
      <c r="C54" s="8"/>
      <c r="D54" s="8"/>
      <c r="E54" s="8"/>
      <c r="F54" s="8" t="str">
        <f>IFERROR(__xludf.DUMMYFUNCTION("""COMPUTED_VALUE"""),"ADO List 2024")</f>
        <v>ADO List 2024</v>
      </c>
      <c r="G54" s="8"/>
      <c r="H54" s="8"/>
      <c r="I54" s="9">
        <f>IFERROR(__xludf.DUMMYFUNCTION("""COMPUTED_VALUE"""),45444.0)</f>
        <v>45444</v>
      </c>
      <c r="J54" s="9">
        <f>IFERROR(__xludf.DUMMYFUNCTION("""COMPUTED_VALUE"""),46539.0)</f>
        <v>46539</v>
      </c>
      <c r="K54" s="13">
        <f>IFERROR(__xludf.DUMMYFUNCTION("""COMPUTED_VALUE"""),47635.0)</f>
        <v>47635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7" t="str">
        <f>IFERROR(__xludf.DUMMYFUNCTION("""COMPUTED_VALUE"""),"Kransel")</f>
        <v>Kransel</v>
      </c>
      <c r="B55" s="8" t="str">
        <f>IFERROR(__xludf.DUMMYFUNCTION("""COMPUTED_VALUE"""),"Levi")</f>
        <v>Levi</v>
      </c>
      <c r="C55" s="8"/>
      <c r="D55" s="8"/>
      <c r="E55" s="8"/>
      <c r="F55" s="8" t="str">
        <f>IFERROR(__xludf.DUMMYFUNCTION("""COMPUTED_VALUE"""),"ADO List 2024")</f>
        <v>ADO List 2024</v>
      </c>
      <c r="G55" s="8"/>
      <c r="H55" s="8"/>
      <c r="I55" s="9">
        <f>IFERROR(__xludf.DUMMYFUNCTION("""COMPUTED_VALUE"""),45444.0)</f>
        <v>45444</v>
      </c>
      <c r="J55" s="9">
        <f>IFERROR(__xludf.DUMMYFUNCTION("""COMPUTED_VALUE"""),46539.0)</f>
        <v>46539</v>
      </c>
      <c r="K55" s="13">
        <f>IFERROR(__xludf.DUMMYFUNCTION("""COMPUTED_VALUE"""),47635.0)</f>
        <v>47635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7" t="str">
        <f>IFERROR(__xludf.DUMMYFUNCTION("""COMPUTED_VALUE"""),"KUHLMAN")</f>
        <v>KUHLMAN</v>
      </c>
      <c r="B56" s="8" t="str">
        <f>IFERROR(__xludf.DUMMYFUNCTION("""COMPUTED_VALUE"""),"KYLE")</f>
        <v>KYLE</v>
      </c>
      <c r="C56" s="8" t="str">
        <f>IFERROR(__xludf.DUMMYFUNCTION("""COMPUTED_VALUE"""),"SYCAMORE")</f>
        <v>SYCAMORE</v>
      </c>
      <c r="D56" s="8" t="str">
        <f>IFERROR(__xludf.DUMMYFUNCTION("""COMPUTED_VALUE"""),"IL")</f>
        <v>IL</v>
      </c>
      <c r="E56" s="8" t="str">
        <f>IFERROR(__xludf.DUMMYFUNCTION("""COMPUTED_VALUE"""),"USA")</f>
        <v>USA</v>
      </c>
      <c r="F56" s="8" t="str">
        <f>IFERROR(__xludf.DUMMYFUNCTION("""COMPUTED_VALUE"""),"PRO CRICKET DBLS")</f>
        <v>PRO CRICKET DBLS</v>
      </c>
      <c r="G56" s="8" t="str">
        <f>IFERROR(__xludf.DUMMYFUNCTION("""COMPUTED_VALUE"""),"1")</f>
        <v>1</v>
      </c>
      <c r="H56" s="8" t="str">
        <f>IFERROR(__xludf.DUMMYFUNCTION("""COMPUTED_VALUE"""),"BS 37 FINALS")</f>
        <v>BS 37 FINALS</v>
      </c>
      <c r="I56" s="9">
        <f>IFERROR(__xludf.DUMMYFUNCTION("""COMPUTED_VALUE"""),45078.0)</f>
        <v>45078</v>
      </c>
      <c r="J56" s="9">
        <f>IFERROR(__xludf.DUMMYFUNCTION("""COMPUTED_VALUE"""),46174.0)</f>
        <v>46174</v>
      </c>
      <c r="K56" s="13">
        <f>IFERROR(__xludf.DUMMYFUNCTION("""COMPUTED_VALUE"""),47270.0)</f>
        <v>47270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7" t="str">
        <f>IFERROR(__xludf.DUMMYFUNCTION("""COMPUTED_VALUE"""),"LACKEY")</f>
        <v>LACKEY</v>
      </c>
      <c r="B57" s="8" t="str">
        <f>IFERROR(__xludf.DUMMYFUNCTION("""COMPUTED_VALUE"""),"JOHNNY")</f>
        <v>JOHNNY</v>
      </c>
      <c r="C57" s="8" t="str">
        <f>IFERROR(__xludf.DUMMYFUNCTION("""COMPUTED_VALUE"""),"TOMBALL")</f>
        <v>TOMBALL</v>
      </c>
      <c r="D57" s="8" t="str">
        <f>IFERROR(__xludf.DUMMYFUNCTION("""COMPUTED_VALUE"""),"TX")</f>
        <v>TX</v>
      </c>
      <c r="E57" s="8" t="str">
        <f>IFERROR(__xludf.DUMMYFUNCTION("""COMPUTED_VALUE"""),"USA")</f>
        <v>USA</v>
      </c>
      <c r="F57" s="8" t="str">
        <f>IFERROR(__xludf.DUMMYFUNCTION("""COMPUTED_VALUE"""),"PRO CRICKET DBLS")</f>
        <v>PRO CRICKET DBLS</v>
      </c>
      <c r="G57" s="8" t="str">
        <f>IFERROR(__xludf.DUMMYFUNCTION("""COMPUTED_VALUE"""),"3")</f>
        <v>3</v>
      </c>
      <c r="H57" s="8" t="str">
        <f>IFERROR(__xludf.DUMMYFUNCTION("""COMPUTED_VALUE"""),"BS 37 FINALS")</f>
        <v>BS 37 FINALS</v>
      </c>
      <c r="I57" s="9">
        <f>IFERROR(__xludf.DUMMYFUNCTION("""COMPUTED_VALUE"""),45078.0)</f>
        <v>45078</v>
      </c>
      <c r="J57" s="9">
        <f>IFERROR(__xludf.DUMMYFUNCTION("""COMPUTED_VALUE"""),46174.0)</f>
        <v>46174</v>
      </c>
      <c r="K57" s="13">
        <f>IFERROR(__xludf.DUMMYFUNCTION("""COMPUTED_VALUE"""),47270.0)</f>
        <v>47270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7" t="str">
        <f>IFERROR(__xludf.DUMMYFUNCTION("""COMPUTED_VALUE"""),"LARSON")</f>
        <v>LARSON</v>
      </c>
      <c r="B58" s="8" t="str">
        <f>IFERROR(__xludf.DUMMYFUNCTION("""COMPUTED_VALUE"""),"DUSTIN")</f>
        <v>DUSTIN</v>
      </c>
      <c r="C58" s="8" t="str">
        <f>IFERROR(__xludf.DUMMYFUNCTION("""COMPUTED_VALUE"""),"BARABOO")</f>
        <v>BARABOO</v>
      </c>
      <c r="D58" s="8" t="str">
        <f>IFERROR(__xludf.DUMMYFUNCTION("""COMPUTED_VALUE"""),"WI")</f>
        <v>WI</v>
      </c>
      <c r="E58" s="8" t="str">
        <f>IFERROR(__xludf.DUMMYFUNCTION("""COMPUTED_VALUE"""),"USA")</f>
        <v>USA</v>
      </c>
      <c r="F58" s="8" t="str">
        <f>IFERROR(__xludf.DUMMYFUNCTION("""COMPUTED_VALUE"""),"Pro 501 Dbls")</f>
        <v>Pro 501 Dbls</v>
      </c>
      <c r="G58" s="8" t="str">
        <f>IFERROR(__xludf.DUMMYFUNCTION("""COMPUTED_VALUE"""),"1st")</f>
        <v>1st</v>
      </c>
      <c r="H58" s="8" t="str">
        <f>IFERROR(__xludf.DUMMYFUNCTION("""COMPUTED_VALUE"""),"BS 38 Finals")</f>
        <v>BS 38 Finals</v>
      </c>
      <c r="I58" s="9">
        <f>IFERROR(__xludf.DUMMYFUNCTION("""COMPUTED_VALUE"""),45444.0)</f>
        <v>45444</v>
      </c>
      <c r="J58" s="9">
        <f>IFERROR(__xludf.DUMMYFUNCTION("""COMPUTED_VALUE"""),46539.0)</f>
        <v>46539</v>
      </c>
      <c r="K58" s="13">
        <f>IFERROR(__xludf.DUMMYFUNCTION("""COMPUTED_VALUE"""),47635.0)</f>
        <v>47635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7" t="str">
        <f>IFERROR(__xludf.DUMMYFUNCTION("""COMPUTED_VALUE"""),"LAUBY JR")</f>
        <v>LAUBY JR</v>
      </c>
      <c r="B59" s="8" t="str">
        <f>IFERROR(__xludf.DUMMYFUNCTION("""COMPUTED_VALUE"""),"DANIEL")</f>
        <v>DANIEL</v>
      </c>
      <c r="C59" s="8" t="str">
        <f>IFERROR(__xludf.DUMMYFUNCTION("""COMPUTED_VALUE"""),"TERRE HAUTE")</f>
        <v>TERRE HAUTE</v>
      </c>
      <c r="D59" s="8" t="str">
        <f>IFERROR(__xludf.DUMMYFUNCTION("""COMPUTED_VALUE"""),"IN")</f>
        <v>IN</v>
      </c>
      <c r="E59" s="8" t="str">
        <f>IFERROR(__xludf.DUMMYFUNCTION("""COMPUTED_VALUE"""),"USA")</f>
        <v>USA</v>
      </c>
      <c r="F59" s="8" t="str">
        <f>IFERROR(__xludf.DUMMYFUNCTION("""COMPUTED_VALUE"""),"PRO AA MEN SINGLES")</f>
        <v>PRO AA MEN SINGLES</v>
      </c>
      <c r="G59" s="8" t="str">
        <f>IFERROR(__xludf.DUMMYFUNCTION("""COMPUTED_VALUE"""),"1")</f>
        <v>1</v>
      </c>
      <c r="H59" s="8" t="str">
        <f>IFERROR(__xludf.DUMMYFUNCTION("""COMPUTED_VALUE"""),"BS 37 FINALS")</f>
        <v>BS 37 FINALS</v>
      </c>
      <c r="I59" s="9">
        <f>IFERROR(__xludf.DUMMYFUNCTION("""COMPUTED_VALUE"""),45078.0)</f>
        <v>45078</v>
      </c>
      <c r="J59" s="9">
        <f>IFERROR(__xludf.DUMMYFUNCTION("""COMPUTED_VALUE"""),46174.0)</f>
        <v>46174</v>
      </c>
      <c r="K59" s="13">
        <f>IFERROR(__xludf.DUMMYFUNCTION("""COMPUTED_VALUE"""),47270.0)</f>
        <v>47270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7" t="str">
        <f>IFERROR(__xludf.DUMMYFUNCTION("""COMPUTED_VALUE"""),"Liddeke")</f>
        <v>Liddeke</v>
      </c>
      <c r="B60" s="8" t="str">
        <f>IFERROR(__xludf.DUMMYFUNCTION("""COMPUTED_VALUE"""),"Kyle")</f>
        <v>Kyle</v>
      </c>
      <c r="C60" s="8" t="str">
        <f>IFERROR(__xludf.DUMMYFUNCTION("""COMPUTED_VALUE"""),"SIOUX FALLS")</f>
        <v>SIOUX FALLS</v>
      </c>
      <c r="D60" s="8" t="str">
        <f>IFERROR(__xludf.DUMMYFUNCTION("""COMPUTED_VALUE"""),"SD")</f>
        <v>SD</v>
      </c>
      <c r="E60" s="8" t="str">
        <f>IFERROR(__xludf.DUMMYFUNCTION("""COMPUTED_VALUE"""),"USA")</f>
        <v>USA</v>
      </c>
      <c r="F60" s="8" t="str">
        <f>IFERROR(__xludf.DUMMYFUNCTION("""COMPUTED_VALUE"""),"PRO/AA MIXED CRICKET")</f>
        <v>PRO/AA MIXED CRICKET</v>
      </c>
      <c r="G60" s="8" t="str">
        <f>IFERROR(__xludf.DUMMYFUNCTION("""COMPUTED_VALUE"""),"3rd")</f>
        <v>3rd</v>
      </c>
      <c r="H60" s="8" t="str">
        <f>IFERROR(__xludf.DUMMYFUNCTION("""COMPUTED_VALUE"""),"BULLSHOOTER 36 FINALS")</f>
        <v>BULLSHOOTER 36 FINALS</v>
      </c>
      <c r="I60" s="9">
        <f>IFERROR(__xludf.DUMMYFUNCTION("""COMPUTED_VALUE"""),44713.0)</f>
        <v>44713</v>
      </c>
      <c r="J60" s="9">
        <f>IFERROR(__xludf.DUMMYFUNCTION("""COMPUTED_VALUE"""),45809.0)</f>
        <v>45809</v>
      </c>
      <c r="K60" s="13">
        <f>IFERROR(__xludf.DUMMYFUNCTION("""COMPUTED_VALUE"""),46905.0)</f>
        <v>46905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7" t="str">
        <f>IFERROR(__xludf.DUMMYFUNCTION("""COMPUTED_VALUE"""),"LIM")</f>
        <v>LIM</v>
      </c>
      <c r="B61" s="8" t="str">
        <f>IFERROR(__xludf.DUMMYFUNCTION("""COMPUTED_VALUE"""),"CHRISTOPHER")</f>
        <v>CHRISTOPHER</v>
      </c>
      <c r="C61" s="8" t="str">
        <f>IFERROR(__xludf.DUMMYFUNCTION("""COMPUTED_VALUE"""),"SAN BERNADINO")</f>
        <v>SAN BERNADINO</v>
      </c>
      <c r="D61" s="8" t="str">
        <f>IFERROR(__xludf.DUMMYFUNCTION("""COMPUTED_VALUE"""),"CA")</f>
        <v>CA</v>
      </c>
      <c r="E61" s="8" t="str">
        <f>IFERROR(__xludf.DUMMYFUNCTION("""COMPUTED_VALUE"""),"USA")</f>
        <v>USA</v>
      </c>
      <c r="F61" s="8" t="str">
        <f>IFERROR(__xludf.DUMMYFUNCTION("""COMPUTED_VALUE"""),"Pro 501 Singles")</f>
        <v>Pro 501 Singles</v>
      </c>
      <c r="G61" s="8" t="str">
        <f>IFERROR(__xludf.DUMMYFUNCTION("""COMPUTED_VALUE"""),"4th")</f>
        <v>4th</v>
      </c>
      <c r="H61" s="8" t="str">
        <f>IFERROR(__xludf.DUMMYFUNCTION("""COMPUTED_VALUE"""),"BS 38 Finals")</f>
        <v>BS 38 Finals</v>
      </c>
      <c r="I61" s="9">
        <f>IFERROR(__xludf.DUMMYFUNCTION("""COMPUTED_VALUE"""),45444.0)</f>
        <v>45444</v>
      </c>
      <c r="J61" s="9">
        <f>IFERROR(__xludf.DUMMYFUNCTION("""COMPUTED_VALUE"""),46539.0)</f>
        <v>46539</v>
      </c>
      <c r="K61" s="13">
        <f>IFERROR(__xludf.DUMMYFUNCTION("""COMPUTED_VALUE"""),47635.0)</f>
        <v>47635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7" t="str">
        <f>IFERROR(__xludf.DUMMYFUNCTION("""COMPUTED_VALUE"""),"LUKE")</f>
        <v>LUKE</v>
      </c>
      <c r="B62" s="8" t="str">
        <f>IFERROR(__xludf.DUMMYFUNCTION("""COMPUTED_VALUE"""),"KEVIN")</f>
        <v>KEVIN</v>
      </c>
      <c r="C62" s="8" t="str">
        <f>IFERROR(__xludf.DUMMYFUNCTION("""COMPUTED_VALUE"""),"SUNNYSIDE")</f>
        <v>SUNNYSIDE</v>
      </c>
      <c r="D62" s="8" t="str">
        <f>IFERROR(__xludf.DUMMYFUNCTION("""COMPUTED_VALUE"""),"WA")</f>
        <v>WA</v>
      </c>
      <c r="E62" s="8" t="str">
        <f>IFERROR(__xludf.DUMMYFUNCTION("""COMPUTED_VALUE"""),"USA")</f>
        <v>USA</v>
      </c>
      <c r="F62" s="8" t="str">
        <f>IFERROR(__xludf.DUMMYFUNCTION("""COMPUTED_VALUE"""),"Pro AA Cricket Dbls")</f>
        <v>Pro AA Cricket Dbls</v>
      </c>
      <c r="G62" s="8" t="str">
        <f>IFERROR(__xludf.DUMMYFUNCTION("""COMPUTED_VALUE"""),"1st")</f>
        <v>1st</v>
      </c>
      <c r="H62" s="8" t="str">
        <f>IFERROR(__xludf.DUMMYFUNCTION("""COMPUTED_VALUE"""),"BS 38 Finals")</f>
        <v>BS 38 Finals</v>
      </c>
      <c r="I62" s="9">
        <f>IFERROR(__xludf.DUMMYFUNCTION("""COMPUTED_VALUE"""),45078.0)</f>
        <v>45078</v>
      </c>
      <c r="J62" s="9">
        <f>IFERROR(__xludf.DUMMYFUNCTION("""COMPUTED_VALUE"""),46539.0)</f>
        <v>46539</v>
      </c>
      <c r="K62" s="13">
        <f>IFERROR(__xludf.DUMMYFUNCTION("""COMPUTED_VALUE"""),47635.0)</f>
        <v>47635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7" t="str">
        <f>IFERROR(__xludf.DUMMYFUNCTION("""COMPUTED_VALUE"""),"Lynaugh")</f>
        <v>Lynaugh</v>
      </c>
      <c r="B63" s="8" t="str">
        <f>IFERROR(__xludf.DUMMYFUNCTION("""COMPUTED_VALUE"""),"Joey")</f>
        <v>Joey</v>
      </c>
      <c r="C63" s="8"/>
      <c r="D63" s="8"/>
      <c r="E63" s="8"/>
      <c r="F63" s="8" t="str">
        <f>IFERROR(__xludf.DUMMYFUNCTION("""COMPUTED_VALUE"""),"ADO List 2024")</f>
        <v>ADO List 2024</v>
      </c>
      <c r="G63" s="8"/>
      <c r="H63" s="8"/>
      <c r="I63" s="9">
        <f>IFERROR(__xludf.DUMMYFUNCTION("""COMPUTED_VALUE"""),45444.0)</f>
        <v>45444</v>
      </c>
      <c r="J63" s="9">
        <f>IFERROR(__xludf.DUMMYFUNCTION("""COMPUTED_VALUE"""),46539.0)</f>
        <v>46539</v>
      </c>
      <c r="K63" s="13">
        <f>IFERROR(__xludf.DUMMYFUNCTION("""COMPUTED_VALUE"""),47635.0)</f>
        <v>47635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7" t="str">
        <f>IFERROR(__xludf.DUMMYFUNCTION("""COMPUTED_VALUE"""),"MALONEY")</f>
        <v>MALONEY</v>
      </c>
      <c r="B64" s="8" t="str">
        <f>IFERROR(__xludf.DUMMYFUNCTION("""COMPUTED_VALUE"""),"MIKE")</f>
        <v>MIKE</v>
      </c>
      <c r="C64" s="8" t="str">
        <f>IFERROR(__xludf.DUMMYFUNCTION("""COMPUTED_VALUE"""),"PLAINFIELD")</f>
        <v>PLAINFIELD</v>
      </c>
      <c r="D64" s="8" t="str">
        <f>IFERROR(__xludf.DUMMYFUNCTION("""COMPUTED_VALUE"""),"IL")</f>
        <v>IL</v>
      </c>
      <c r="E64" s="8" t="str">
        <f>IFERROR(__xludf.DUMMYFUNCTION("""COMPUTED_VALUE"""),"USA")</f>
        <v>USA</v>
      </c>
      <c r="F64" s="8" t="str">
        <f>IFERROR(__xludf.DUMMYFUNCTION("""COMPUTED_VALUE"""),"Pro AA 501 Singles")</f>
        <v>Pro AA 501 Singles</v>
      </c>
      <c r="G64" s="8" t="str">
        <f>IFERROR(__xludf.DUMMYFUNCTION("""COMPUTED_VALUE"""),"2nd")</f>
        <v>2nd</v>
      </c>
      <c r="H64" s="8" t="str">
        <f>IFERROR(__xludf.DUMMYFUNCTION("""COMPUTED_VALUE"""),"BS 38 Finals")</f>
        <v>BS 38 Finals</v>
      </c>
      <c r="I64" s="9">
        <f>IFERROR(__xludf.DUMMYFUNCTION("""COMPUTED_VALUE"""),45078.0)</f>
        <v>45078</v>
      </c>
      <c r="J64" s="9">
        <f>IFERROR(__xludf.DUMMYFUNCTION("""COMPUTED_VALUE"""),46539.0)</f>
        <v>46539</v>
      </c>
      <c r="K64" s="13">
        <f>IFERROR(__xludf.DUMMYFUNCTION("""COMPUTED_VALUE"""),47635.0)</f>
        <v>47635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7" t="str">
        <f>IFERROR(__xludf.DUMMYFUNCTION("""COMPUTED_VALUE"""),"MANCHIZH")</f>
        <v>MANCHIZH</v>
      </c>
      <c r="B65" s="8" t="str">
        <f>IFERROR(__xludf.DUMMYFUNCTION("""COMPUTED_VALUE"""),"KEVIN")</f>
        <v>KEVIN</v>
      </c>
      <c r="C65" s="8" t="str">
        <f>IFERROR(__xludf.DUMMYFUNCTION("""COMPUTED_VALUE"""),"SOUTHGATE")</f>
        <v>SOUTHGATE</v>
      </c>
      <c r="D65" s="8" t="str">
        <f>IFERROR(__xludf.DUMMYFUNCTION("""COMPUTED_VALUE"""),"MI")</f>
        <v>MI</v>
      </c>
      <c r="E65" s="8" t="str">
        <f>IFERROR(__xludf.DUMMYFUNCTION("""COMPUTED_VALUE"""),"USA")</f>
        <v>USA</v>
      </c>
      <c r="F65" s="8" t="str">
        <f>IFERROR(__xludf.DUMMYFUNCTION("""COMPUTED_VALUE"""),"TOPGUN PRO TRIPLES")</f>
        <v>TOPGUN PRO TRIPLES</v>
      </c>
      <c r="G65" s="8" t="str">
        <f>IFERROR(__xludf.DUMMYFUNCTION("""COMPUTED_VALUE"""),"3 4")</f>
        <v>3 4</v>
      </c>
      <c r="H65" s="8" t="str">
        <f>IFERROR(__xludf.DUMMYFUNCTION("""COMPUTED_VALUE"""),"BS 37 FINALS")</f>
        <v>BS 37 FINALS</v>
      </c>
      <c r="I65" s="9">
        <f>IFERROR(__xludf.DUMMYFUNCTION("""COMPUTED_VALUE"""),45078.0)</f>
        <v>45078</v>
      </c>
      <c r="J65" s="9">
        <f>IFERROR(__xludf.DUMMYFUNCTION("""COMPUTED_VALUE"""),46174.0)</f>
        <v>46174</v>
      </c>
      <c r="K65" s="13">
        <f>IFERROR(__xludf.DUMMYFUNCTION("""COMPUTED_VALUE"""),47270.0)</f>
        <v>47270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7" t="str">
        <f>IFERROR(__xludf.DUMMYFUNCTION("""COMPUTED_VALUE"""),"Marti")</f>
        <v>Marti</v>
      </c>
      <c r="B66" s="8" t="str">
        <f>IFERROR(__xludf.DUMMYFUNCTION("""COMPUTED_VALUE"""),"Martin")</f>
        <v>Martin</v>
      </c>
      <c r="C66" s="8"/>
      <c r="D66" s="8" t="str">
        <f>IFERROR(__xludf.DUMMYFUNCTION("""COMPUTED_VALUE"""),"UNK")</f>
        <v>UNK</v>
      </c>
      <c r="E66" s="8" t="str">
        <f>IFERROR(__xludf.DUMMYFUNCTION("""COMPUTED_VALUE"""),"Spain")</f>
        <v>Spain</v>
      </c>
      <c r="F66" s="8" t="str">
        <f>IFERROR(__xludf.DUMMYFUNCTION("""COMPUTED_VALUE"""),"Pro AA Cricket Dbls")</f>
        <v>Pro AA Cricket Dbls</v>
      </c>
      <c r="G66" s="8" t="str">
        <f>IFERROR(__xludf.DUMMYFUNCTION("""COMPUTED_VALUE"""),"2nd")</f>
        <v>2nd</v>
      </c>
      <c r="H66" s="8" t="str">
        <f>IFERROR(__xludf.DUMMYFUNCTION("""COMPUTED_VALUE"""),"BS 38 Finals")</f>
        <v>BS 38 Finals</v>
      </c>
      <c r="I66" s="9">
        <f>IFERROR(__xludf.DUMMYFUNCTION("""COMPUTED_VALUE"""),42828.0)</f>
        <v>42828</v>
      </c>
      <c r="J66" s="9">
        <f>IFERROR(__xludf.DUMMYFUNCTION("""COMPUTED_VALUE"""),46539.0)</f>
        <v>46539</v>
      </c>
      <c r="K66" s="13">
        <f>IFERROR(__xludf.DUMMYFUNCTION("""COMPUTED_VALUE"""),47635.0)</f>
        <v>47635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7" t="str">
        <f>IFERROR(__xludf.DUMMYFUNCTION("""COMPUTED_VALUE"""),"Mawson")</f>
        <v>Mawson</v>
      </c>
      <c r="B67" s="8" t="str">
        <f>IFERROR(__xludf.DUMMYFUNCTION("""COMPUTED_VALUE"""),"Gary")</f>
        <v>Gary</v>
      </c>
      <c r="C67" s="8" t="str">
        <f>IFERROR(__xludf.DUMMYFUNCTION("""COMPUTED_VALUE"""),"N. Royalton")</f>
        <v>N. Royalton</v>
      </c>
      <c r="D67" s="8" t="str">
        <f>IFERROR(__xludf.DUMMYFUNCTION("""COMPUTED_VALUE"""),"OH")</f>
        <v>OH</v>
      </c>
      <c r="E67" s="8" t="str">
        <f>IFERROR(__xludf.DUMMYFUNCTION("""COMPUTED_VALUE"""),"USA")</f>
        <v>USA</v>
      </c>
      <c r="F67" s="8" t="str">
        <f>IFERROR(__xludf.DUMMYFUNCTION("""COMPUTED_VALUE"""),"WDF List 2024")</f>
        <v>WDF List 2024</v>
      </c>
      <c r="G67" s="8"/>
      <c r="H67" s="8"/>
      <c r="I67" s="9">
        <f>IFERROR(__xludf.DUMMYFUNCTION("""COMPUTED_VALUE"""),45444.0)</f>
        <v>45444</v>
      </c>
      <c r="J67" s="9">
        <f>IFERROR(__xludf.DUMMYFUNCTION("""COMPUTED_VALUE"""),46539.0)</f>
        <v>46539</v>
      </c>
      <c r="K67" s="13">
        <f>IFERROR(__xludf.DUMMYFUNCTION("""COMPUTED_VALUE"""),47635.0)</f>
        <v>47635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7" t="str">
        <f>IFERROR(__xludf.DUMMYFUNCTION("""COMPUTED_VALUE"""),"McCowan")</f>
        <v>McCowan</v>
      </c>
      <c r="B68" s="8" t="str">
        <f>IFERROR(__xludf.DUMMYFUNCTION("""COMPUTED_VALUE"""),"Ken")</f>
        <v>Ken</v>
      </c>
      <c r="C68" s="8" t="str">
        <f>IFERROR(__xludf.DUMMYFUNCTION("""COMPUTED_VALUE"""),"Joliet")</f>
        <v>Joliet</v>
      </c>
      <c r="D68" s="8" t="str">
        <f>IFERROR(__xludf.DUMMYFUNCTION("""COMPUTED_VALUE"""),"IL")</f>
        <v>IL</v>
      </c>
      <c r="E68" s="8" t="str">
        <f>IFERROR(__xludf.DUMMYFUNCTION("""COMPUTED_VALUE"""),"USA")</f>
        <v>USA</v>
      </c>
      <c r="F68" s="8" t="str">
        <f>IFERROR(__xludf.DUMMYFUNCTION("""COMPUTED_VALUE"""),"PRO DBLS 501")</f>
        <v>PRO DBLS 501</v>
      </c>
      <c r="G68" s="8" t="str">
        <f>IFERROR(__xludf.DUMMYFUNCTION("""COMPUTED_VALUE"""),"3rd")</f>
        <v>3rd</v>
      </c>
      <c r="H68" s="8" t="str">
        <f>IFERROR(__xludf.DUMMYFUNCTION("""COMPUTED_VALUE"""),"Known Ability")</f>
        <v>Known Ability</v>
      </c>
      <c r="I68" s="9">
        <f>IFERROR(__xludf.DUMMYFUNCTION("""COMPUTED_VALUE"""),42522.0)</f>
        <v>42522</v>
      </c>
      <c r="J68" s="9"/>
      <c r="K68" s="13">
        <f>IFERROR(__xludf.DUMMYFUNCTION("""COMPUTED_VALUE"""),47635.0)</f>
        <v>47635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7" t="str">
        <f>IFERROR(__xludf.DUMMYFUNCTION("""COMPUTED_VALUE"""),"MCCOY")</f>
        <v>MCCOY</v>
      </c>
      <c r="B69" s="8" t="str">
        <f>IFERROR(__xludf.DUMMYFUNCTION("""COMPUTED_VALUE"""),"ROBERT")</f>
        <v>ROBERT</v>
      </c>
      <c r="C69" s="8" t="str">
        <f>IFERROR(__xludf.DUMMYFUNCTION("""COMPUTED_VALUE"""),"WATERMAN")</f>
        <v>WATERMAN</v>
      </c>
      <c r="D69" s="8" t="str">
        <f>IFERROR(__xludf.DUMMYFUNCTION("""COMPUTED_VALUE"""),"IL")</f>
        <v>IL</v>
      </c>
      <c r="E69" s="8" t="str">
        <f>IFERROR(__xludf.DUMMYFUNCTION("""COMPUTED_VALUE"""),"USA")</f>
        <v>USA</v>
      </c>
      <c r="F69" s="8" t="str">
        <f>IFERROR(__xludf.DUMMYFUNCTION("""COMPUTED_VALUE"""),"Pro Luck Cricket")</f>
        <v>Pro Luck Cricket</v>
      </c>
      <c r="G69" s="8" t="str">
        <f>IFERROR(__xludf.DUMMYFUNCTION("""COMPUTED_VALUE"""),"1st")</f>
        <v>1st</v>
      </c>
      <c r="H69" s="8" t="str">
        <f>IFERROR(__xludf.DUMMYFUNCTION("""COMPUTED_VALUE"""),"BS 38 Finals")</f>
        <v>BS 38 Finals</v>
      </c>
      <c r="I69" s="9">
        <f>IFERROR(__xludf.DUMMYFUNCTION("""COMPUTED_VALUE"""),45078.0)</f>
        <v>45078</v>
      </c>
      <c r="J69" s="9">
        <f>IFERROR(__xludf.DUMMYFUNCTION("""COMPUTED_VALUE"""),46539.0)</f>
        <v>46539</v>
      </c>
      <c r="K69" s="13">
        <f>IFERROR(__xludf.DUMMYFUNCTION("""COMPUTED_VALUE"""),47635.0)</f>
        <v>47635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7" t="str">
        <f>IFERROR(__xludf.DUMMYFUNCTION("""COMPUTED_VALUE"""),"MENDEZ")</f>
        <v>MENDEZ</v>
      </c>
      <c r="B70" s="8" t="str">
        <f>IFERROR(__xludf.DUMMYFUNCTION("""COMPUTED_VALUE"""),"ANGEL")</f>
        <v>ANGEL</v>
      </c>
      <c r="C70" s="8" t="str">
        <f>IFERROR(__xludf.DUMMYFUNCTION("""COMPUTED_VALUE"""),"BARCELON")</f>
        <v>BARCELON</v>
      </c>
      <c r="D70" s="8"/>
      <c r="E70" s="8" t="str">
        <f>IFERROR(__xludf.DUMMYFUNCTION("""COMPUTED_VALUE"""),"SPAIN")</f>
        <v>SPAIN</v>
      </c>
      <c r="F70" s="8" t="str">
        <f>IFERROR(__xludf.DUMMYFUNCTION("""COMPUTED_VALUE"""),"PRO AA 501 DBLS")</f>
        <v>PRO AA 501 DBLS</v>
      </c>
      <c r="G70" s="8" t="str">
        <f>IFERROR(__xludf.DUMMYFUNCTION("""COMPUTED_VALUE"""),"4")</f>
        <v>4</v>
      </c>
      <c r="H70" s="8" t="str">
        <f>IFERROR(__xludf.DUMMYFUNCTION("""COMPUTED_VALUE"""),"BS 37 FINALS")</f>
        <v>BS 37 FINALS</v>
      </c>
      <c r="I70" s="9">
        <f>IFERROR(__xludf.DUMMYFUNCTION("""COMPUTED_VALUE"""),45078.0)</f>
        <v>45078</v>
      </c>
      <c r="J70" s="9">
        <f>IFERROR(__xludf.DUMMYFUNCTION("""COMPUTED_VALUE"""),46174.0)</f>
        <v>46174</v>
      </c>
      <c r="K70" s="13">
        <f>IFERROR(__xludf.DUMMYFUNCTION("""COMPUTED_VALUE"""),47270.0)</f>
        <v>47270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7" t="str">
        <f>IFERROR(__xludf.DUMMYFUNCTION("""COMPUTED_VALUE"""),"MEYER")</f>
        <v>MEYER</v>
      </c>
      <c r="B71" s="8" t="str">
        <f>IFERROR(__xludf.DUMMYFUNCTION("""COMPUTED_VALUE"""),"JORDAN")</f>
        <v>JORDAN</v>
      </c>
      <c r="C71" s="8" t="str">
        <f>IFERROR(__xludf.DUMMYFUNCTION("""COMPUTED_VALUE"""),"O'FALLON")</f>
        <v>O'FALLON</v>
      </c>
      <c r="D71" s="8" t="str">
        <f>IFERROR(__xludf.DUMMYFUNCTION("""COMPUTED_VALUE"""),"MO")</f>
        <v>MO</v>
      </c>
      <c r="E71" s="8" t="str">
        <f>IFERROR(__xludf.DUMMYFUNCTION("""COMPUTED_VALUE"""),"USA")</f>
        <v>USA</v>
      </c>
      <c r="F71" s="8" t="str">
        <f>IFERROR(__xludf.DUMMYFUNCTION("""COMPUTED_VALUE"""),"PRO DBLS 501")</f>
        <v>PRO DBLS 501</v>
      </c>
      <c r="G71" s="8" t="str">
        <f>IFERROR(__xludf.DUMMYFUNCTION("""COMPUTED_VALUE"""),"2ND")</f>
        <v>2ND</v>
      </c>
      <c r="H71" s="8" t="str">
        <f>IFERROR(__xludf.DUMMYFUNCTION("""COMPUTED_VALUE"""),"NE REGIONAL BS 38")</f>
        <v>NE REGIONAL BS 38</v>
      </c>
      <c r="I71" s="9">
        <f>IFERROR(__xludf.DUMMYFUNCTION("""COMPUTED_VALUE"""),45444.0)</f>
        <v>45444</v>
      </c>
      <c r="J71" s="9">
        <f>IFERROR(__xludf.DUMMYFUNCTION("""COMPUTED_VALUE"""),46174.0)</f>
        <v>46174</v>
      </c>
      <c r="K71" s="13">
        <f>IFERROR(__xludf.DUMMYFUNCTION("""COMPUTED_VALUE"""),47270.0)</f>
        <v>47270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7" t="str">
        <f>IFERROR(__xludf.DUMMYFUNCTION("""COMPUTED_VALUE"""),"Milk")</f>
        <v>Milk</v>
      </c>
      <c r="B72" s="8" t="str">
        <f>IFERROR(__xludf.DUMMYFUNCTION("""COMPUTED_VALUE"""),"Elliott")</f>
        <v>Elliott</v>
      </c>
      <c r="C72" s="8" t="str">
        <f>IFERROR(__xludf.DUMMYFUNCTION("""COMPUTED_VALUE"""),"Lake Andes")</f>
        <v>Lake Andes</v>
      </c>
      <c r="D72" s="8" t="str">
        <f>IFERROR(__xludf.DUMMYFUNCTION("""COMPUTED_VALUE"""),"SD")</f>
        <v>SD</v>
      </c>
      <c r="E72" s="8" t="str">
        <f>IFERROR(__xludf.DUMMYFUNCTION("""COMPUTED_VALUE"""),"USA")</f>
        <v>USA</v>
      </c>
      <c r="F72" s="8" t="str">
        <f>IFERROR(__xludf.DUMMYFUNCTION("""COMPUTED_VALUE"""),"Pro AA Cricket Dbls")</f>
        <v>Pro AA Cricket Dbls</v>
      </c>
      <c r="G72" s="8" t="str">
        <f>IFERROR(__xludf.DUMMYFUNCTION("""COMPUTED_VALUE"""),"4th")</f>
        <v>4th</v>
      </c>
      <c r="H72" s="8" t="str">
        <f>IFERROR(__xludf.DUMMYFUNCTION("""COMPUTED_VALUE"""),"BS 38 Finals")</f>
        <v>BS 38 Finals</v>
      </c>
      <c r="I72" s="9">
        <f>IFERROR(__xludf.DUMMYFUNCTION("""COMPUTED_VALUE"""),44713.0)</f>
        <v>44713</v>
      </c>
      <c r="J72" s="9">
        <f>IFERROR(__xludf.DUMMYFUNCTION("""COMPUTED_VALUE"""),46539.0)</f>
        <v>46539</v>
      </c>
      <c r="K72" s="13">
        <f>IFERROR(__xludf.DUMMYFUNCTION("""COMPUTED_VALUE"""),47635.0)</f>
        <v>47635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7" t="str">
        <f>IFERROR(__xludf.DUMMYFUNCTION("""COMPUTED_VALUE"""),"MILLAR")</f>
        <v>MILLAR</v>
      </c>
      <c r="B73" s="8" t="str">
        <f>IFERROR(__xludf.DUMMYFUNCTION("""COMPUTED_VALUE"""),"JEREMIAH")</f>
        <v>JEREMIAH</v>
      </c>
      <c r="C73" s="8" t="str">
        <f>IFERROR(__xludf.DUMMYFUNCTION("""COMPUTED_VALUE"""),"OXFORD")</f>
        <v>OXFORD</v>
      </c>
      <c r="D73" s="8" t="str">
        <f>IFERROR(__xludf.DUMMYFUNCTION("""COMPUTED_VALUE"""),"MI")</f>
        <v>MI</v>
      </c>
      <c r="E73" s="8" t="str">
        <f>IFERROR(__xludf.DUMMYFUNCTION("""COMPUTED_VALUE"""),"USA")</f>
        <v>USA</v>
      </c>
      <c r="F73" s="8" t="str">
        <f>IFERROR(__xludf.DUMMYFUNCTION("""COMPUTED_VALUE"""),"TOPGUN PRO TRIPLES")</f>
        <v>TOPGUN PRO TRIPLES</v>
      </c>
      <c r="G73" s="8" t="str">
        <f>IFERROR(__xludf.DUMMYFUNCTION("""COMPUTED_VALUE"""),"1")</f>
        <v>1</v>
      </c>
      <c r="H73" s="8" t="str">
        <f>IFERROR(__xludf.DUMMYFUNCTION("""COMPUTED_VALUE"""),"BS 37 FINALS")</f>
        <v>BS 37 FINALS</v>
      </c>
      <c r="I73" s="9">
        <f>IFERROR(__xludf.DUMMYFUNCTION("""COMPUTED_VALUE"""),45078.0)</f>
        <v>45078</v>
      </c>
      <c r="J73" s="9">
        <f>IFERROR(__xludf.DUMMYFUNCTION("""COMPUTED_VALUE"""),46174.0)</f>
        <v>46174</v>
      </c>
      <c r="K73" s="13">
        <f>IFERROR(__xludf.DUMMYFUNCTION("""COMPUTED_VALUE"""),47270.0)</f>
        <v>47270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7" t="str">
        <f>IFERROR(__xludf.DUMMYFUNCTION("""COMPUTED_VALUE"""),"MILLER")</f>
        <v>MILLER</v>
      </c>
      <c r="B74" s="8" t="str">
        <f>IFERROR(__xludf.DUMMYFUNCTION("""COMPUTED_VALUE"""),"SCOTT")</f>
        <v>SCOTT</v>
      </c>
      <c r="C74" s="8" t="str">
        <f>IFERROR(__xludf.DUMMYFUNCTION("""COMPUTED_VALUE"""),"SYCAMORE")</f>
        <v>SYCAMORE</v>
      </c>
      <c r="D74" s="8" t="str">
        <f>IFERROR(__xludf.DUMMYFUNCTION("""COMPUTED_VALUE"""),"IL")</f>
        <v>IL</v>
      </c>
      <c r="E74" s="8" t="str">
        <f>IFERROR(__xludf.DUMMYFUNCTION("""COMPUTED_VALUE"""),"USA")</f>
        <v>USA</v>
      </c>
      <c r="F74" s="8" t="str">
        <f>IFERROR(__xludf.DUMMYFUNCTION("""COMPUTED_VALUE"""),"Pro AA 501 Singles")</f>
        <v>Pro AA 501 Singles</v>
      </c>
      <c r="G74" s="8" t="str">
        <f>IFERROR(__xludf.DUMMYFUNCTION("""COMPUTED_VALUE"""),"4th")</f>
        <v>4th</v>
      </c>
      <c r="H74" s="8" t="str">
        <f>IFERROR(__xludf.DUMMYFUNCTION("""COMPUTED_VALUE"""),"BS 38 Finals")</f>
        <v>BS 38 Finals</v>
      </c>
      <c r="I74" s="9">
        <f>IFERROR(__xludf.DUMMYFUNCTION("""COMPUTED_VALUE"""),44713.0)</f>
        <v>44713</v>
      </c>
      <c r="J74" s="9">
        <f>IFERROR(__xludf.DUMMYFUNCTION("""COMPUTED_VALUE"""),46539.0)</f>
        <v>46539</v>
      </c>
      <c r="K74" s="13">
        <f>IFERROR(__xludf.DUMMYFUNCTION("""COMPUTED_VALUE"""),47635.0)</f>
        <v>47635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7" t="str">
        <f>IFERROR(__xludf.DUMMYFUNCTION("""COMPUTED_VALUE"""),"Newberry")</f>
        <v>Newberry</v>
      </c>
      <c r="B75" s="8" t="str">
        <f>IFERROR(__xludf.DUMMYFUNCTION("""COMPUTED_VALUE"""),"Kaidon")</f>
        <v>Kaidon</v>
      </c>
      <c r="C75" s="8"/>
      <c r="D75" s="8"/>
      <c r="E75" s="8"/>
      <c r="F75" s="8" t="str">
        <f>IFERROR(__xludf.DUMMYFUNCTION("""COMPUTED_VALUE"""),"ADO List 2024")</f>
        <v>ADO List 2024</v>
      </c>
      <c r="G75" s="8"/>
      <c r="H75" s="8"/>
      <c r="I75" s="9">
        <f>IFERROR(__xludf.DUMMYFUNCTION("""COMPUTED_VALUE"""),45444.0)</f>
        <v>45444</v>
      </c>
      <c r="J75" s="9">
        <f>IFERROR(__xludf.DUMMYFUNCTION("""COMPUTED_VALUE"""),46539.0)</f>
        <v>46539</v>
      </c>
      <c r="K75" s="13">
        <f>IFERROR(__xludf.DUMMYFUNCTION("""COMPUTED_VALUE"""),47635.0)</f>
        <v>47635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7" t="str">
        <f>IFERROR(__xludf.DUMMYFUNCTION("""COMPUTED_VALUE"""),"NOVACK")</f>
        <v>NOVACK</v>
      </c>
      <c r="B76" s="8" t="str">
        <f>IFERROR(__xludf.DUMMYFUNCTION("""COMPUTED_VALUE"""),"JONATHON")</f>
        <v>JONATHON</v>
      </c>
      <c r="C76" s="8" t="str">
        <f>IFERROR(__xludf.DUMMYFUNCTION("""COMPUTED_VALUE"""),"KENOSHA")</f>
        <v>KENOSHA</v>
      </c>
      <c r="D76" s="8" t="str">
        <f>IFERROR(__xludf.DUMMYFUNCTION("""COMPUTED_VALUE"""),"WI")</f>
        <v>WI</v>
      </c>
      <c r="E76" s="8" t="str">
        <f>IFERROR(__xludf.DUMMYFUNCTION("""COMPUTED_VALUE"""),"USA")</f>
        <v>USA</v>
      </c>
      <c r="F76" s="8" t="str">
        <f>IFERROR(__xludf.DUMMYFUNCTION("""COMPUTED_VALUE"""),"Pro Cricket Dbls")</f>
        <v>Pro Cricket Dbls</v>
      </c>
      <c r="G76" s="8" t="str">
        <f>IFERROR(__xludf.DUMMYFUNCTION("""COMPUTED_VALUE"""),"4th")</f>
        <v>4th</v>
      </c>
      <c r="H76" s="8" t="str">
        <f>IFERROR(__xludf.DUMMYFUNCTION("""COMPUTED_VALUE"""),"BS 38 Finals")</f>
        <v>BS 38 Finals</v>
      </c>
      <c r="I76" s="9">
        <f>IFERROR(__xludf.DUMMYFUNCTION("""COMPUTED_VALUE"""),44713.0)</f>
        <v>44713</v>
      </c>
      <c r="J76" s="9">
        <f>IFERROR(__xludf.DUMMYFUNCTION("""COMPUTED_VALUE"""),46539.0)</f>
        <v>46539</v>
      </c>
      <c r="K76" s="13">
        <f>IFERROR(__xludf.DUMMYFUNCTION("""COMPUTED_VALUE"""),47635.0)</f>
        <v>47635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7" t="str">
        <f>IFERROR(__xludf.DUMMYFUNCTION("""COMPUTED_VALUE"""),"Olson")</f>
        <v>Olson</v>
      </c>
      <c r="B77" s="8" t="str">
        <f>IFERROR(__xludf.DUMMYFUNCTION("""COMPUTED_VALUE"""),"John")</f>
        <v>John</v>
      </c>
      <c r="C77" s="8" t="str">
        <f>IFERROR(__xludf.DUMMYFUNCTION("""COMPUTED_VALUE"""),"Rhinelander")</f>
        <v>Rhinelander</v>
      </c>
      <c r="D77" s="8" t="str">
        <f>IFERROR(__xludf.DUMMYFUNCTION("""COMPUTED_VALUE"""),"WI")</f>
        <v>WI</v>
      </c>
      <c r="E77" s="8" t="str">
        <f>IFERROR(__xludf.DUMMYFUNCTION("""COMPUTED_VALUE"""),"USA")</f>
        <v>USA</v>
      </c>
      <c r="F77" s="8" t="str">
        <f>IFERROR(__xludf.DUMMYFUNCTION("""COMPUTED_VALUE"""),"PRO DBLS 501")</f>
        <v>PRO DBLS 501</v>
      </c>
      <c r="G77" s="8" t="str">
        <f>IFERROR(__xludf.DUMMYFUNCTION("""COMPUTED_VALUE"""),"2ND")</f>
        <v>2ND</v>
      </c>
      <c r="H77" s="8" t="str">
        <f>IFERROR(__xludf.DUMMYFUNCTION("""COMPUTED_VALUE"""),"BULLSHOOTER 36 FINALS")</f>
        <v>BULLSHOOTER 36 FINALS</v>
      </c>
      <c r="I77" s="9">
        <f>IFERROR(__xludf.DUMMYFUNCTION("""COMPUTED_VALUE"""),44713.0)</f>
        <v>44713</v>
      </c>
      <c r="J77" s="9">
        <f>IFERROR(__xludf.DUMMYFUNCTION("""COMPUTED_VALUE"""),45809.0)</f>
        <v>45809</v>
      </c>
      <c r="K77" s="13">
        <f>IFERROR(__xludf.DUMMYFUNCTION("""COMPUTED_VALUE"""),46905.0)</f>
        <v>46905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7" t="str">
        <f>IFERROR(__xludf.DUMMYFUNCTION("""COMPUTED_VALUE"""),"OXENDINE")</f>
        <v>OXENDINE</v>
      </c>
      <c r="B78" s="8" t="str">
        <f>IFERROR(__xludf.DUMMYFUNCTION("""COMPUTED_VALUE"""),"BRAD")</f>
        <v>BRAD</v>
      </c>
      <c r="C78" s="8" t="str">
        <f>IFERROR(__xludf.DUMMYFUNCTION("""COMPUTED_VALUE"""),"CARTERVILLE")</f>
        <v>CARTERVILLE</v>
      </c>
      <c r="D78" s="8" t="str">
        <f>IFERROR(__xludf.DUMMYFUNCTION("""COMPUTED_VALUE"""),"IL")</f>
        <v>IL</v>
      </c>
      <c r="E78" s="8" t="str">
        <f>IFERROR(__xludf.DUMMYFUNCTION("""COMPUTED_VALUE"""),"USA")</f>
        <v>USA</v>
      </c>
      <c r="F78" s="8" t="str">
        <f>IFERROR(__xludf.DUMMYFUNCTION("""COMPUTED_VALUE"""),"PRO 501 DBLS")</f>
        <v>PRO 501 DBLS</v>
      </c>
      <c r="G78" s="8" t="str">
        <f>IFERROR(__xludf.DUMMYFUNCTION("""COMPUTED_VALUE"""),"3")</f>
        <v>3</v>
      </c>
      <c r="H78" s="8" t="str">
        <f>IFERROR(__xludf.DUMMYFUNCTION("""COMPUTED_VALUE"""),"BS 37 FINALS")</f>
        <v>BS 37 FINALS</v>
      </c>
      <c r="I78" s="9">
        <f>IFERROR(__xludf.DUMMYFUNCTION("""COMPUTED_VALUE"""),45078.0)</f>
        <v>45078</v>
      </c>
      <c r="J78" s="9">
        <f>IFERROR(__xludf.DUMMYFUNCTION("""COMPUTED_VALUE"""),46174.0)</f>
        <v>46174</v>
      </c>
      <c r="K78" s="13">
        <f>IFERROR(__xludf.DUMMYFUNCTION("""COMPUTED_VALUE"""),47270.0)</f>
        <v>47270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7" t="str">
        <f>IFERROR(__xludf.DUMMYFUNCTION("""COMPUTED_VALUE"""),"PARISE")</f>
        <v>PARISE</v>
      </c>
      <c r="B79" s="8" t="str">
        <f>IFERROR(__xludf.DUMMYFUNCTION("""COMPUTED_VALUE"""),"SCOTT")</f>
        <v>SCOTT</v>
      </c>
      <c r="C79" s="8" t="str">
        <f>IFERROR(__xludf.DUMMYFUNCTION("""COMPUTED_VALUE"""),"LEHIGH ACRES")</f>
        <v>LEHIGH ACRES</v>
      </c>
      <c r="D79" s="8" t="str">
        <f>IFERROR(__xludf.DUMMYFUNCTION("""COMPUTED_VALUE"""),"FL")</f>
        <v>FL</v>
      </c>
      <c r="E79" s="8" t="str">
        <f>IFERROR(__xludf.DUMMYFUNCTION("""COMPUTED_VALUE"""),"USA")</f>
        <v>USA</v>
      </c>
      <c r="F79" s="8" t="str">
        <f>IFERROR(__xludf.DUMMYFUNCTION("""COMPUTED_VALUE"""),"PRO DBLS 501")</f>
        <v>PRO DBLS 501</v>
      </c>
      <c r="G79" s="8" t="str">
        <f>IFERROR(__xludf.DUMMYFUNCTION("""COMPUTED_VALUE"""),"4TH")</f>
        <v>4TH</v>
      </c>
      <c r="H79" s="8" t="str">
        <f>IFERROR(__xludf.DUMMYFUNCTION("""COMPUTED_VALUE"""),"BULLSHOOTER 36 FINALS")</f>
        <v>BULLSHOOTER 36 FINALS</v>
      </c>
      <c r="I79" s="9">
        <f>IFERROR(__xludf.DUMMYFUNCTION("""COMPUTED_VALUE"""),44713.0)</f>
        <v>44713</v>
      </c>
      <c r="J79" s="9">
        <f>IFERROR(__xludf.DUMMYFUNCTION("""COMPUTED_VALUE"""),45809.0)</f>
        <v>45809</v>
      </c>
      <c r="K79" s="13">
        <f>IFERROR(__xludf.DUMMYFUNCTION("""COMPUTED_VALUE"""),46905.0)</f>
        <v>46905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7" t="str">
        <f>IFERROR(__xludf.DUMMYFUNCTION("""COMPUTED_VALUE"""),"Phares")</f>
        <v>Phares</v>
      </c>
      <c r="B80" s="8" t="str">
        <f>IFERROR(__xludf.DUMMYFUNCTION("""COMPUTED_VALUE"""),"Ben")</f>
        <v>Ben</v>
      </c>
      <c r="C80" s="8" t="str">
        <f>IFERROR(__xludf.DUMMYFUNCTION("""COMPUTED_VALUE"""),"Indianapolis")</f>
        <v>Indianapolis</v>
      </c>
      <c r="D80" s="8" t="str">
        <f>IFERROR(__xludf.DUMMYFUNCTION("""COMPUTED_VALUE"""),"IN")</f>
        <v>IN</v>
      </c>
      <c r="E80" s="8" t="str">
        <f>IFERROR(__xludf.DUMMYFUNCTION("""COMPUTED_VALUE"""),"USA")</f>
        <v>USA</v>
      </c>
      <c r="F80" s="8" t="str">
        <f>IFERROR(__xludf.DUMMYFUNCTION("""COMPUTED_VALUE"""),"PRO/PRO AA LUCK CRICKET")</f>
        <v>PRO/PRO AA LUCK CRICKET</v>
      </c>
      <c r="G80" s="8" t="str">
        <f>IFERROR(__xludf.DUMMYFUNCTION("""COMPUTED_VALUE"""),"2ND")</f>
        <v>2ND</v>
      </c>
      <c r="H80" s="8" t="str">
        <f>IFERROR(__xludf.DUMMYFUNCTION("""COMPUTED_VALUE"""),"BULLSHOOTER 36 FINALS")</f>
        <v>BULLSHOOTER 36 FINALS</v>
      </c>
      <c r="I80" s="9">
        <f>IFERROR(__xludf.DUMMYFUNCTION("""COMPUTED_VALUE"""),44713.0)</f>
        <v>44713</v>
      </c>
      <c r="J80" s="9">
        <f>IFERROR(__xludf.DUMMYFUNCTION("""COMPUTED_VALUE"""),45809.0)</f>
        <v>45809</v>
      </c>
      <c r="K80" s="13">
        <f>IFERROR(__xludf.DUMMYFUNCTION("""COMPUTED_VALUE"""),46905.0)</f>
        <v>46905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7" t="str">
        <f>IFERROR(__xludf.DUMMYFUNCTION("""COMPUTED_VALUE"""),"Phillips")</f>
        <v>Phillips</v>
      </c>
      <c r="B81" s="8" t="str">
        <f>IFERROR(__xludf.DUMMYFUNCTION("""COMPUTED_VALUE"""),"Robbie")</f>
        <v>Robbie</v>
      </c>
      <c r="C81" s="8"/>
      <c r="D81" s="8"/>
      <c r="E81" s="8"/>
      <c r="F81" s="8" t="str">
        <f>IFERROR(__xludf.DUMMYFUNCTION("""COMPUTED_VALUE"""),"ADO List 2024")</f>
        <v>ADO List 2024</v>
      </c>
      <c r="G81" s="8"/>
      <c r="H81" s="8"/>
      <c r="I81" s="9">
        <f>IFERROR(__xludf.DUMMYFUNCTION("""COMPUTED_VALUE"""),45444.0)</f>
        <v>45444</v>
      </c>
      <c r="J81" s="9">
        <f>IFERROR(__xludf.DUMMYFUNCTION("""COMPUTED_VALUE"""),46539.0)</f>
        <v>46539</v>
      </c>
      <c r="K81" s="13">
        <f>IFERROR(__xludf.DUMMYFUNCTION("""COMPUTED_VALUE"""),47635.0)</f>
        <v>47635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7" t="str">
        <f>IFERROR(__xludf.DUMMYFUNCTION("""COMPUTED_VALUE"""),"PORTERFIELD")</f>
        <v>PORTERFIELD</v>
      </c>
      <c r="B82" s="8" t="str">
        <f>IFERROR(__xludf.DUMMYFUNCTION("""COMPUTED_VALUE"""),"MICHAEL")</f>
        <v>MICHAEL</v>
      </c>
      <c r="C82" s="8" t="str">
        <f>IFERROR(__xludf.DUMMYFUNCTION("""COMPUTED_VALUE"""),"SHARON")</f>
        <v>SHARON</v>
      </c>
      <c r="D82" s="8" t="str">
        <f>IFERROR(__xludf.DUMMYFUNCTION("""COMPUTED_VALUE"""),"PA")</f>
        <v>PA</v>
      </c>
      <c r="E82" s="8" t="str">
        <f>IFERROR(__xludf.DUMMYFUNCTION("""COMPUTED_VALUE"""),"USA")</f>
        <v>USA</v>
      </c>
      <c r="F82" s="8" t="str">
        <f>IFERROR(__xludf.DUMMYFUNCTION("""COMPUTED_VALUE"""),"Pro 501 Dbls")</f>
        <v>Pro 501 Dbls</v>
      </c>
      <c r="G82" s="8" t="str">
        <f>IFERROR(__xludf.DUMMYFUNCTION("""COMPUTED_VALUE"""),"2nd")</f>
        <v>2nd</v>
      </c>
      <c r="H82" s="8" t="str">
        <f>IFERROR(__xludf.DUMMYFUNCTION("""COMPUTED_VALUE"""),"BS 38 Finals")</f>
        <v>BS 38 Finals</v>
      </c>
      <c r="I82" s="9">
        <f>IFERROR(__xludf.DUMMYFUNCTION("""COMPUTED_VALUE"""),45078.0)</f>
        <v>45078</v>
      </c>
      <c r="J82" s="9">
        <f>IFERROR(__xludf.DUMMYFUNCTION("""COMPUTED_VALUE"""),46539.0)</f>
        <v>46539</v>
      </c>
      <c r="K82" s="13">
        <f>IFERROR(__xludf.DUMMYFUNCTION("""COMPUTED_VALUE"""),47635.0)</f>
        <v>47635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7" t="str">
        <f>IFERROR(__xludf.DUMMYFUNCTION("""COMPUTED_VALUE"""),"Priest")</f>
        <v>Priest</v>
      </c>
      <c r="B83" s="8" t="str">
        <f>IFERROR(__xludf.DUMMYFUNCTION("""COMPUTED_VALUE"""),"Derek")</f>
        <v>Derek</v>
      </c>
      <c r="C83" s="8" t="str">
        <f>IFERROR(__xludf.DUMMYFUNCTION("""COMPUTED_VALUE"""),"Fate")</f>
        <v>Fate</v>
      </c>
      <c r="D83" s="8" t="str">
        <f>IFERROR(__xludf.DUMMYFUNCTION("""COMPUTED_VALUE"""),"TX")</f>
        <v>TX</v>
      </c>
      <c r="E83" s="8" t="str">
        <f>IFERROR(__xludf.DUMMYFUNCTION("""COMPUTED_VALUE"""),"USA")</f>
        <v>USA</v>
      </c>
      <c r="F83" s="8" t="str">
        <f>IFERROR(__xludf.DUMMYFUNCTION("""COMPUTED_VALUE"""),"PRO DBLS CRICKET")</f>
        <v>PRO DBLS CRICKET</v>
      </c>
      <c r="G83" s="8" t="str">
        <f>IFERROR(__xludf.DUMMYFUNCTION("""COMPUTED_VALUE"""),"3rd")</f>
        <v>3rd</v>
      </c>
      <c r="H83" s="8" t="str">
        <f>IFERROR(__xludf.DUMMYFUNCTION("""COMPUTED_VALUE"""),"BULLSHOOTER 36 FINALS")</f>
        <v>BULLSHOOTER 36 FINALS</v>
      </c>
      <c r="I83" s="9">
        <f>IFERROR(__xludf.DUMMYFUNCTION("""COMPUTED_VALUE"""),44713.0)</f>
        <v>44713</v>
      </c>
      <c r="J83" s="9">
        <f>IFERROR(__xludf.DUMMYFUNCTION("""COMPUTED_VALUE"""),45809.0)</f>
        <v>45809</v>
      </c>
      <c r="K83" s="13">
        <f>IFERROR(__xludf.DUMMYFUNCTION("""COMPUTED_VALUE"""),46905.0)</f>
        <v>46905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7" t="str">
        <f>IFERROR(__xludf.DUMMYFUNCTION("""COMPUTED_VALUE"""),"RAKOWSKI")</f>
        <v>RAKOWSKI</v>
      </c>
      <c r="B84" s="8" t="str">
        <f>IFERROR(__xludf.DUMMYFUNCTION("""COMPUTED_VALUE"""),"GARRETT")</f>
        <v>GARRETT</v>
      </c>
      <c r="C84" s="8" t="str">
        <f>IFERROR(__xludf.DUMMYFUNCTION("""COMPUTED_VALUE"""),"GREENFIELD")</f>
        <v>GREENFIELD</v>
      </c>
      <c r="D84" s="8" t="str">
        <f>IFERROR(__xludf.DUMMYFUNCTION("""COMPUTED_VALUE"""),"WI")</f>
        <v>WI</v>
      </c>
      <c r="E84" s="8" t="str">
        <f>IFERROR(__xludf.DUMMYFUNCTION("""COMPUTED_VALUE"""),"USA")</f>
        <v>USA</v>
      </c>
      <c r="F84" s="8" t="str">
        <f>IFERROR(__xludf.DUMMYFUNCTION("""COMPUTED_VALUE"""),"Pro/Pro AA Mix Cricket")</f>
        <v>Pro/Pro AA Mix Cricket</v>
      </c>
      <c r="G84" s="8" t="str">
        <f>IFERROR(__xludf.DUMMYFUNCTION("""COMPUTED_VALUE"""),"4th")</f>
        <v>4th</v>
      </c>
      <c r="H84" s="8" t="str">
        <f>IFERROR(__xludf.DUMMYFUNCTION("""COMPUTED_VALUE"""),"BS 38 Finals")</f>
        <v>BS 38 Finals</v>
      </c>
      <c r="I84" s="9">
        <f>IFERROR(__xludf.DUMMYFUNCTION("""COMPUTED_VALUE"""),45078.0)</f>
        <v>45078</v>
      </c>
      <c r="J84" s="9">
        <f>IFERROR(__xludf.DUMMYFUNCTION("""COMPUTED_VALUE"""),46539.0)</f>
        <v>46539</v>
      </c>
      <c r="K84" s="13">
        <f>IFERROR(__xludf.DUMMYFUNCTION("""COMPUTED_VALUE"""),47635.0)</f>
        <v>47635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7" t="str">
        <f>IFERROR(__xludf.DUMMYFUNCTION("""COMPUTED_VALUE"""),"RATH")</f>
        <v>RATH</v>
      </c>
      <c r="B85" s="8" t="str">
        <f>IFERROR(__xludf.DUMMYFUNCTION("""COMPUTED_VALUE"""),"COLLIN")</f>
        <v>COLLIN</v>
      </c>
      <c r="C85" s="8" t="str">
        <f>IFERROR(__xludf.DUMMYFUNCTION("""COMPUTED_VALUE"""),"PHILADEPHIA")</f>
        <v>PHILADEPHIA</v>
      </c>
      <c r="D85" s="8" t="str">
        <f>IFERROR(__xludf.DUMMYFUNCTION("""COMPUTED_VALUE"""),"PA")</f>
        <v>PA</v>
      </c>
      <c r="E85" s="8" t="str">
        <f>IFERROR(__xludf.DUMMYFUNCTION("""COMPUTED_VALUE"""),"USA")</f>
        <v>USA</v>
      </c>
      <c r="F85" s="8" t="str">
        <f>IFERROR(__xludf.DUMMYFUNCTION("""COMPUTED_VALUE"""),"TopGun Pro Mixed")</f>
        <v>TopGun Pro Mixed</v>
      </c>
      <c r="G85" s="8" t="str">
        <f>IFERROR(__xludf.DUMMYFUNCTION("""COMPUTED_VALUE"""),"2nd")</f>
        <v>2nd</v>
      </c>
      <c r="H85" s="8" t="str">
        <f>IFERROR(__xludf.DUMMYFUNCTION("""COMPUTED_VALUE"""),"BS 38 Finals")</f>
        <v>BS 38 Finals</v>
      </c>
      <c r="I85" s="9">
        <f>IFERROR(__xludf.DUMMYFUNCTION("""COMPUTED_VALUE"""),45078.0)</f>
        <v>45078</v>
      </c>
      <c r="J85" s="9">
        <f>IFERROR(__xludf.DUMMYFUNCTION("""COMPUTED_VALUE"""),46539.0)</f>
        <v>46539</v>
      </c>
      <c r="K85" s="13">
        <f>IFERROR(__xludf.DUMMYFUNCTION("""COMPUTED_VALUE"""),47635.0)</f>
        <v>47635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7" t="str">
        <f>IFERROR(__xludf.DUMMYFUNCTION("""COMPUTED_VALUE"""),"RIPP")</f>
        <v>RIPP</v>
      </c>
      <c r="B86" s="8" t="str">
        <f>IFERROR(__xludf.DUMMYFUNCTION("""COMPUTED_VALUE"""),"KEN")</f>
        <v>KEN</v>
      </c>
      <c r="C86" s="8" t="str">
        <f>IFERROR(__xludf.DUMMYFUNCTION("""COMPUTED_VALUE"""),"ST CLOUD")</f>
        <v>ST CLOUD</v>
      </c>
      <c r="D86" s="8" t="str">
        <f>IFERROR(__xludf.DUMMYFUNCTION("""COMPUTED_VALUE"""),"MN")</f>
        <v>MN</v>
      </c>
      <c r="E86" s="8" t="str">
        <f>IFERROR(__xludf.DUMMYFUNCTION("""COMPUTED_VALUE"""),"USA")</f>
        <v>USA</v>
      </c>
      <c r="F86" s="8" t="str">
        <f>IFERROR(__xludf.DUMMYFUNCTION("""COMPUTED_VALUE"""),"PRO AA CRICKET DBLS")</f>
        <v>PRO AA CRICKET DBLS</v>
      </c>
      <c r="G86" s="8" t="str">
        <f>IFERROR(__xludf.DUMMYFUNCTION("""COMPUTED_VALUE"""),"2")</f>
        <v>2</v>
      </c>
      <c r="H86" s="8" t="str">
        <f>IFERROR(__xludf.DUMMYFUNCTION("""COMPUTED_VALUE"""),"BS 37 FINALS")</f>
        <v>BS 37 FINALS</v>
      </c>
      <c r="I86" s="9">
        <f>IFERROR(__xludf.DUMMYFUNCTION("""COMPUTED_VALUE"""),45078.0)</f>
        <v>45078</v>
      </c>
      <c r="J86" s="9">
        <f>IFERROR(__xludf.DUMMYFUNCTION("""COMPUTED_VALUE"""),46174.0)</f>
        <v>46174</v>
      </c>
      <c r="K86" s="13">
        <f>IFERROR(__xludf.DUMMYFUNCTION("""COMPUTED_VALUE"""),47270.0)</f>
        <v>47270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7" t="str">
        <f>IFERROR(__xludf.DUMMYFUNCTION("""COMPUTED_VALUE"""),"Robbins")</f>
        <v>Robbins</v>
      </c>
      <c r="B87" s="8" t="str">
        <f>IFERROR(__xludf.DUMMYFUNCTION("""COMPUTED_VALUE"""),"Bruce")</f>
        <v>Bruce</v>
      </c>
      <c r="C87" s="8"/>
      <c r="D87" s="8"/>
      <c r="E87" s="8"/>
      <c r="F87" s="8" t="str">
        <f>IFERROR(__xludf.DUMMYFUNCTION("""COMPUTED_VALUE"""),"WDF List 2024")</f>
        <v>WDF List 2024</v>
      </c>
      <c r="G87" s="8"/>
      <c r="H87" s="8"/>
      <c r="I87" s="9">
        <f>IFERROR(__xludf.DUMMYFUNCTION("""COMPUTED_VALUE"""),45444.0)</f>
        <v>45444</v>
      </c>
      <c r="J87" s="9">
        <f>IFERROR(__xludf.DUMMYFUNCTION("""COMPUTED_VALUE"""),46539.0)</f>
        <v>46539</v>
      </c>
      <c r="K87" s="13">
        <f>IFERROR(__xludf.DUMMYFUNCTION("""COMPUTED_VALUE"""),47635.0)</f>
        <v>47635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7" t="str">
        <f>IFERROR(__xludf.DUMMYFUNCTION("""COMPUTED_VALUE"""),"RYDEEN")</f>
        <v>RYDEEN</v>
      </c>
      <c r="B88" s="8" t="str">
        <f>IFERROR(__xludf.DUMMYFUNCTION("""COMPUTED_VALUE"""),"MICHAEL")</f>
        <v>MICHAEL</v>
      </c>
      <c r="C88" s="8" t="str">
        <f>IFERROR(__xludf.DUMMYFUNCTION("""COMPUTED_VALUE"""),"SOMERSET")</f>
        <v>SOMERSET</v>
      </c>
      <c r="D88" s="8" t="str">
        <f>IFERROR(__xludf.DUMMYFUNCTION("""COMPUTED_VALUE"""),"WI")</f>
        <v>WI</v>
      </c>
      <c r="E88" s="8" t="str">
        <f>IFERROR(__xludf.DUMMYFUNCTION("""COMPUTED_VALUE"""),"USA")</f>
        <v>USA</v>
      </c>
      <c r="F88" s="8" t="str">
        <f>IFERROR(__xludf.DUMMYFUNCTION("""COMPUTED_VALUE"""),"TOP GUN PRO MIXED TRIPS")</f>
        <v>TOP GUN PRO MIXED TRIPS</v>
      </c>
      <c r="G88" s="8" t="str">
        <f>IFERROR(__xludf.DUMMYFUNCTION("""COMPUTED_VALUE"""),"2ND")</f>
        <v>2ND</v>
      </c>
      <c r="H88" s="8" t="str">
        <f>IFERROR(__xludf.DUMMYFUNCTION("""COMPUTED_VALUE"""),"BULLSHOOTER 36 FINALS")</f>
        <v>BULLSHOOTER 36 FINALS</v>
      </c>
      <c r="I88" s="9">
        <f>IFERROR(__xludf.DUMMYFUNCTION("""COMPUTED_VALUE"""),44713.0)</f>
        <v>44713</v>
      </c>
      <c r="J88" s="9">
        <f>IFERROR(__xludf.DUMMYFUNCTION("""COMPUTED_VALUE"""),45809.0)</f>
        <v>45809</v>
      </c>
      <c r="K88" s="13">
        <f>IFERROR(__xludf.DUMMYFUNCTION("""COMPUTED_VALUE"""),46905.0)</f>
        <v>46905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7" t="str">
        <f>IFERROR(__xludf.DUMMYFUNCTION("""COMPUTED_VALUE"""),"Sawyer")</f>
        <v>Sawyer</v>
      </c>
      <c r="B89" s="8" t="str">
        <f>IFERROR(__xludf.DUMMYFUNCTION("""COMPUTED_VALUE"""),"Tom")</f>
        <v>Tom</v>
      </c>
      <c r="C89" s="8" t="str">
        <f>IFERROR(__xludf.DUMMYFUNCTION("""COMPUTED_VALUE"""),"Peabody")</f>
        <v>Peabody</v>
      </c>
      <c r="D89" s="8" t="str">
        <f>IFERROR(__xludf.DUMMYFUNCTION("""COMPUTED_VALUE"""),"MA")</f>
        <v>MA</v>
      </c>
      <c r="E89" s="8" t="str">
        <f>IFERROR(__xludf.DUMMYFUNCTION("""COMPUTED_VALUE"""),"USA")</f>
        <v>USA</v>
      </c>
      <c r="F89" s="8" t="str">
        <f>IFERROR(__xludf.DUMMYFUNCTION("""COMPUTED_VALUE"""),"WDF List 2024")</f>
        <v>WDF List 2024</v>
      </c>
      <c r="G89" s="8"/>
      <c r="H89" s="8"/>
      <c r="I89" s="9">
        <f>IFERROR(__xludf.DUMMYFUNCTION("""COMPUTED_VALUE"""),45444.0)</f>
        <v>45444</v>
      </c>
      <c r="J89" s="9">
        <f>IFERROR(__xludf.DUMMYFUNCTION("""COMPUTED_VALUE"""),46539.0)</f>
        <v>46539</v>
      </c>
      <c r="K89" s="13">
        <f>IFERROR(__xludf.DUMMYFUNCTION("""COMPUTED_VALUE"""),47635.0)</f>
        <v>47635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7" t="str">
        <f>IFERROR(__xludf.DUMMYFUNCTION("""COMPUTED_VALUE"""),"SCARBOROUGH")</f>
        <v>SCARBOROUGH</v>
      </c>
      <c r="B90" s="8" t="str">
        <f>IFERROR(__xludf.DUMMYFUNCTION("""COMPUTED_VALUE"""),"MIKE")</f>
        <v>MIKE</v>
      </c>
      <c r="C90" s="8" t="str">
        <f>IFERROR(__xludf.DUMMYFUNCTION("""COMPUTED_VALUE"""),"GLENDALE")</f>
        <v>GLENDALE</v>
      </c>
      <c r="D90" s="8" t="str">
        <f>IFERROR(__xludf.DUMMYFUNCTION("""COMPUTED_VALUE"""),"AZ")</f>
        <v>AZ</v>
      </c>
      <c r="E90" s="8" t="str">
        <f>IFERROR(__xludf.DUMMYFUNCTION("""COMPUTED_VALUE"""),"USA")</f>
        <v>USA</v>
      </c>
      <c r="F90" s="8" t="str">
        <f>IFERROR(__xludf.DUMMYFUNCTION("""COMPUTED_VALUE"""),"MEN DBLS CRICKET")</f>
        <v>MEN DBLS CRICKET</v>
      </c>
      <c r="G90" s="8" t="str">
        <f>IFERROR(__xludf.DUMMYFUNCTION("""COMPUTED_VALUE"""),"3RD")</f>
        <v>3RD</v>
      </c>
      <c r="H90" s="8" t="str">
        <f>IFERROR(__xludf.DUMMYFUNCTION("""COMPUTED_VALUE"""),"AZ REGIONAL BS 38")</f>
        <v>AZ REGIONAL BS 38</v>
      </c>
      <c r="I90" s="9">
        <f>IFERROR(__xludf.DUMMYFUNCTION("""COMPUTED_VALUE"""),45444.0)</f>
        <v>45444</v>
      </c>
      <c r="J90" s="9">
        <f>IFERROR(__xludf.DUMMYFUNCTION("""COMPUTED_VALUE"""),46174.0)</f>
        <v>46174</v>
      </c>
      <c r="K90" s="13">
        <f>IFERROR(__xludf.DUMMYFUNCTION("""COMPUTED_VALUE"""),47270.0)</f>
        <v>47270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7" t="str">
        <f>IFERROR(__xludf.DUMMYFUNCTION("""COMPUTED_VALUE"""),"Schreiber")</f>
        <v>Schreiber</v>
      </c>
      <c r="B91" s="8" t="str">
        <f>IFERROR(__xludf.DUMMYFUNCTION("""COMPUTED_VALUE"""),"Jake")</f>
        <v>Jake</v>
      </c>
      <c r="C91" s="8" t="str">
        <f>IFERROR(__xludf.DUMMYFUNCTION("""COMPUTED_VALUE"""),"St. Paul")</f>
        <v>St. Paul</v>
      </c>
      <c r="D91" s="8" t="str">
        <f>IFERROR(__xludf.DUMMYFUNCTION("""COMPUTED_VALUE"""),"MN")</f>
        <v>MN</v>
      </c>
      <c r="E91" s="8" t="str">
        <f>IFERROR(__xludf.DUMMYFUNCTION("""COMPUTED_VALUE"""),"USA")</f>
        <v>USA</v>
      </c>
      <c r="F91" s="8" t="str">
        <f>IFERROR(__xludf.DUMMYFUNCTION("""COMPUTED_VALUE"""),"TOP GUN PRO MIXED TRIPS")</f>
        <v>TOP GUN PRO MIXED TRIPS</v>
      </c>
      <c r="G91" s="8" t="str">
        <f>IFERROR(__xludf.DUMMYFUNCTION("""COMPUTED_VALUE"""),"2ND")</f>
        <v>2ND</v>
      </c>
      <c r="H91" s="8" t="str">
        <f>IFERROR(__xludf.DUMMYFUNCTION("""COMPUTED_VALUE"""),"BULLSHOOTER 36 FINALS")</f>
        <v>BULLSHOOTER 36 FINALS</v>
      </c>
      <c r="I91" s="9">
        <f>IFERROR(__xludf.DUMMYFUNCTION("""COMPUTED_VALUE"""),44713.0)</f>
        <v>44713</v>
      </c>
      <c r="J91" s="9">
        <f>IFERROR(__xludf.DUMMYFUNCTION("""COMPUTED_VALUE"""),45809.0)</f>
        <v>45809</v>
      </c>
      <c r="K91" s="13">
        <f>IFERROR(__xludf.DUMMYFUNCTION("""COMPUTED_VALUE"""),46905.0)</f>
        <v>46905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7" t="str">
        <f>IFERROR(__xludf.DUMMYFUNCTION("""COMPUTED_VALUE"""),"Selepec")</f>
        <v>Selepec</v>
      </c>
      <c r="B92" s="8" t="str">
        <f>IFERROR(__xludf.DUMMYFUNCTION("""COMPUTED_VALUE"""),"Nick")</f>
        <v>Nick</v>
      </c>
      <c r="C92" s="8" t="str">
        <f>IFERROR(__xludf.DUMMYFUNCTION("""COMPUTED_VALUE"""),"Orlando")</f>
        <v>Orlando</v>
      </c>
      <c r="D92" s="8" t="str">
        <f>IFERROR(__xludf.DUMMYFUNCTION("""COMPUTED_VALUE"""),"FL")</f>
        <v>FL</v>
      </c>
      <c r="E92" s="8" t="str">
        <f>IFERROR(__xludf.DUMMYFUNCTION("""COMPUTED_VALUE"""),"USA")</f>
        <v>USA</v>
      </c>
      <c r="F92" s="8" t="str">
        <f>IFERROR(__xludf.DUMMYFUNCTION("""COMPUTED_VALUE"""),"PRO DBLS CRICKET")</f>
        <v>PRO DBLS CRICKET</v>
      </c>
      <c r="G92" s="8" t="str">
        <f>IFERROR(__xludf.DUMMYFUNCTION("""COMPUTED_VALUE"""),"1ST")</f>
        <v>1ST</v>
      </c>
      <c r="H92" s="8" t="str">
        <f>IFERROR(__xludf.DUMMYFUNCTION("""COMPUTED_VALUE"""),"BULLSHOOTER 36 FINALS")</f>
        <v>BULLSHOOTER 36 FINALS</v>
      </c>
      <c r="I92" s="9">
        <f>IFERROR(__xludf.DUMMYFUNCTION("""COMPUTED_VALUE"""),44713.0)</f>
        <v>44713</v>
      </c>
      <c r="J92" s="9">
        <f>IFERROR(__xludf.DUMMYFUNCTION("""COMPUTED_VALUE"""),45809.0)</f>
        <v>45809</v>
      </c>
      <c r="K92" s="13">
        <f>IFERROR(__xludf.DUMMYFUNCTION("""COMPUTED_VALUE"""),46905.0)</f>
        <v>46905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7" t="str">
        <f>IFERROR(__xludf.DUMMYFUNCTION("""COMPUTED_VALUE"""),"SELLERS")</f>
        <v>SELLERS</v>
      </c>
      <c r="B93" s="8" t="str">
        <f>IFERROR(__xludf.DUMMYFUNCTION("""COMPUTED_VALUE"""),"TREVOR")</f>
        <v>TREVOR</v>
      </c>
      <c r="C93" s="8" t="str">
        <f>IFERROR(__xludf.DUMMYFUNCTION("""COMPUTED_VALUE"""),"FAIRLAND")</f>
        <v>FAIRLAND</v>
      </c>
      <c r="D93" s="8" t="str">
        <f>IFERROR(__xludf.DUMMYFUNCTION("""COMPUTED_VALUE"""),"IN")</f>
        <v>IN</v>
      </c>
      <c r="E93" s="8" t="str">
        <f>IFERROR(__xludf.DUMMYFUNCTION("""COMPUTED_VALUE"""),"USA")</f>
        <v>USA</v>
      </c>
      <c r="F93" s="8" t="str">
        <f>IFERROR(__xludf.DUMMYFUNCTION("""COMPUTED_VALUE"""),"Pro Cricket Dbls")</f>
        <v>Pro Cricket Dbls</v>
      </c>
      <c r="G93" s="8" t="str">
        <f>IFERROR(__xludf.DUMMYFUNCTION("""COMPUTED_VALUE"""),"2nd")</f>
        <v>2nd</v>
      </c>
      <c r="H93" s="8" t="str">
        <f>IFERROR(__xludf.DUMMYFUNCTION("""COMPUTED_VALUE"""),"BS 38 Finals")</f>
        <v>BS 38 Finals</v>
      </c>
      <c r="I93" s="9">
        <f>IFERROR(__xludf.DUMMYFUNCTION("""COMPUTED_VALUE"""),45078.0)</f>
        <v>45078</v>
      </c>
      <c r="J93" s="9">
        <f>IFERROR(__xludf.DUMMYFUNCTION("""COMPUTED_VALUE"""),46539.0)</f>
        <v>46539</v>
      </c>
      <c r="K93" s="13">
        <f>IFERROR(__xludf.DUMMYFUNCTION("""COMPUTED_VALUE"""),47635.0)</f>
        <v>47635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7" t="str">
        <f>IFERROR(__xludf.DUMMYFUNCTION("""COMPUTED_VALUE"""),"SIGALL")</f>
        <v>SIGALL</v>
      </c>
      <c r="B94" s="8" t="str">
        <f>IFERROR(__xludf.DUMMYFUNCTION("""COMPUTED_VALUE"""),"MICHAEL")</f>
        <v>MICHAEL</v>
      </c>
      <c r="C94" s="8" t="str">
        <f>IFERROR(__xludf.DUMMYFUNCTION("""COMPUTED_VALUE"""),"HOPEWELL")</f>
        <v>HOPEWELL</v>
      </c>
      <c r="D94" s="8" t="str">
        <f>IFERROR(__xludf.DUMMYFUNCTION("""COMPUTED_VALUE"""),"PA")</f>
        <v>PA</v>
      </c>
      <c r="E94" s="8" t="str">
        <f>IFERROR(__xludf.DUMMYFUNCTION("""COMPUTED_VALUE"""),"USA")</f>
        <v>USA</v>
      </c>
      <c r="F94" s="8" t="str">
        <f>IFERROR(__xludf.DUMMYFUNCTION("""COMPUTED_VALUE"""),"Pro 501 Singles")</f>
        <v>Pro 501 Singles</v>
      </c>
      <c r="G94" s="8" t="str">
        <f>IFERROR(__xludf.DUMMYFUNCTION("""COMPUTED_VALUE"""),"1st")</f>
        <v>1st</v>
      </c>
      <c r="H94" s="8" t="str">
        <f>IFERROR(__xludf.DUMMYFUNCTION("""COMPUTED_VALUE"""),"BS 38 Finals")</f>
        <v>BS 38 Finals</v>
      </c>
      <c r="I94" s="9">
        <f>IFERROR(__xludf.DUMMYFUNCTION("""COMPUTED_VALUE"""),44713.0)</f>
        <v>44713</v>
      </c>
      <c r="J94" s="9">
        <f>IFERROR(__xludf.DUMMYFUNCTION("""COMPUTED_VALUE"""),46539.0)</f>
        <v>46539</v>
      </c>
      <c r="K94" s="13">
        <f>IFERROR(__xludf.DUMMYFUNCTION("""COMPUTED_VALUE"""),47635.0)</f>
        <v>47635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11" t="str">
        <f>IFERROR(__xludf.DUMMYFUNCTION("""COMPUTED_VALUE"""),"SPELLMAN")</f>
        <v>SPELLMAN</v>
      </c>
      <c r="B95" s="12" t="str">
        <f>IFERROR(__xludf.DUMMYFUNCTION("""COMPUTED_VALUE"""),"ALEX")</f>
        <v>ALEX</v>
      </c>
      <c r="C95" s="12" t="str">
        <f>IFERROR(__xludf.DUMMYFUNCTION("""COMPUTED_VALUE"""),"FUQUAY-BARINA")</f>
        <v>FUQUAY-BARINA</v>
      </c>
      <c r="D95" s="12" t="str">
        <f>IFERROR(__xludf.DUMMYFUNCTION("""COMPUTED_VALUE"""),"NC")</f>
        <v>NC</v>
      </c>
      <c r="E95" s="12" t="str">
        <f>IFERROR(__xludf.DUMMYFUNCTION("""COMPUTED_VALUE"""),"USA")</f>
        <v>USA</v>
      </c>
      <c r="F95" s="12" t="str">
        <f>IFERROR(__xludf.DUMMYFUNCTION("""COMPUTED_VALUE"""),"Pro AA Cricket Dbls")</f>
        <v>Pro AA Cricket Dbls</v>
      </c>
      <c r="G95" s="12" t="str">
        <f>IFERROR(__xludf.DUMMYFUNCTION("""COMPUTED_VALUE"""),"4th")</f>
        <v>4th</v>
      </c>
      <c r="H95" s="12" t="str">
        <f>IFERROR(__xludf.DUMMYFUNCTION("""COMPUTED_VALUE"""),"BS 38 Finals")</f>
        <v>BS 38 Finals</v>
      </c>
      <c r="I95" s="13">
        <f>IFERROR(__xludf.DUMMYFUNCTION("""COMPUTED_VALUE"""),45078.0)</f>
        <v>45078</v>
      </c>
      <c r="J95" s="13">
        <f>IFERROR(__xludf.DUMMYFUNCTION("""COMPUTED_VALUE"""),46539.0)</f>
        <v>46539</v>
      </c>
      <c r="K95" s="13">
        <f>IFERROR(__xludf.DUMMYFUNCTION("""COMPUTED_VALUE"""),47635.0)</f>
        <v>47635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7" t="str">
        <f>IFERROR(__xludf.DUMMYFUNCTION("""COMPUTED_VALUE"""),"STEFFEN")</f>
        <v>STEFFEN</v>
      </c>
      <c r="B96" s="8" t="str">
        <f>IFERROR(__xludf.DUMMYFUNCTION("""COMPUTED_VALUE"""),"GABRIEL")</f>
        <v>GABRIEL</v>
      </c>
      <c r="C96" s="8" t="str">
        <f>IFERROR(__xludf.DUMMYFUNCTION("""COMPUTED_VALUE"""),"CROOKS")</f>
        <v>CROOKS</v>
      </c>
      <c r="D96" s="8" t="str">
        <f>IFERROR(__xludf.DUMMYFUNCTION("""COMPUTED_VALUE"""),"SD")</f>
        <v>SD</v>
      </c>
      <c r="E96" s="8" t="str">
        <f>IFERROR(__xludf.DUMMYFUNCTION("""COMPUTED_VALUE"""),"USA")</f>
        <v>USA</v>
      </c>
      <c r="F96" s="8" t="str">
        <f>IFERROR(__xludf.DUMMYFUNCTION("""COMPUTED_VALUE"""),"PRO 501 DBLS")</f>
        <v>PRO 501 DBLS</v>
      </c>
      <c r="G96" s="8" t="str">
        <f>IFERROR(__xludf.DUMMYFUNCTION("""COMPUTED_VALUE"""),"4")</f>
        <v>4</v>
      </c>
      <c r="H96" s="8" t="str">
        <f>IFERROR(__xludf.DUMMYFUNCTION("""COMPUTED_VALUE"""),"BS 37 FINALS")</f>
        <v>BS 37 FINALS</v>
      </c>
      <c r="I96" s="9">
        <f>IFERROR(__xludf.DUMMYFUNCTION("""COMPUTED_VALUE"""),45078.0)</f>
        <v>45078</v>
      </c>
      <c r="J96" s="9">
        <f>IFERROR(__xludf.DUMMYFUNCTION("""COMPUTED_VALUE"""),46174.0)</f>
        <v>46174</v>
      </c>
      <c r="K96" s="13">
        <f>IFERROR(__xludf.DUMMYFUNCTION("""COMPUTED_VALUE"""),47270.0)</f>
        <v>47270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7" t="str">
        <f>IFERROR(__xludf.DUMMYFUNCTION("""COMPUTED_VALUE"""),"STERBENZ")</f>
        <v>STERBENZ</v>
      </c>
      <c r="B97" s="8" t="str">
        <f>IFERROR(__xludf.DUMMYFUNCTION("""COMPUTED_VALUE"""),"RICH")</f>
        <v>RICH</v>
      </c>
      <c r="C97" s="8" t="str">
        <f>IFERROR(__xludf.DUMMYFUNCTION("""COMPUTED_VALUE"""),"BONITA SPRINGS")</f>
        <v>BONITA SPRINGS</v>
      </c>
      <c r="D97" s="8" t="str">
        <f>IFERROR(__xludf.DUMMYFUNCTION("""COMPUTED_VALUE"""),"FL")</f>
        <v>FL</v>
      </c>
      <c r="E97" s="8" t="str">
        <f>IFERROR(__xludf.DUMMYFUNCTION("""COMPUTED_VALUE"""),"USA")</f>
        <v>USA</v>
      </c>
      <c r="F97" s="8" t="str">
        <f>IFERROR(__xludf.DUMMYFUNCTION("""COMPUTED_VALUE"""),"Pro Luck Cricket")</f>
        <v>Pro Luck Cricket</v>
      </c>
      <c r="G97" s="8" t="str">
        <f>IFERROR(__xludf.DUMMYFUNCTION("""COMPUTED_VALUE"""),"4th")</f>
        <v>4th</v>
      </c>
      <c r="H97" s="8" t="str">
        <f>IFERROR(__xludf.DUMMYFUNCTION("""COMPUTED_VALUE"""),"BS 38 Finals")</f>
        <v>BS 38 Finals</v>
      </c>
      <c r="I97" s="9">
        <f>IFERROR(__xludf.DUMMYFUNCTION("""COMPUTED_VALUE"""),45078.0)</f>
        <v>45078</v>
      </c>
      <c r="J97" s="9">
        <f>IFERROR(__xludf.DUMMYFUNCTION("""COMPUTED_VALUE"""),46539.0)</f>
        <v>46539</v>
      </c>
      <c r="K97" s="13">
        <f>IFERROR(__xludf.DUMMYFUNCTION("""COMPUTED_VALUE"""),47635.0)</f>
        <v>47635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7" t="str">
        <f>IFERROR(__xludf.DUMMYFUNCTION("""COMPUTED_VALUE"""),"SWANSON")</f>
        <v>SWANSON</v>
      </c>
      <c r="B98" s="8" t="str">
        <f>IFERROR(__xludf.DUMMYFUNCTION("""COMPUTED_VALUE"""),"CHRISTOPHER")</f>
        <v>CHRISTOPHER</v>
      </c>
      <c r="C98" s="8" t="str">
        <f>IFERROR(__xludf.DUMMYFUNCTION("""COMPUTED_VALUE"""),"CADILLAC")</f>
        <v>CADILLAC</v>
      </c>
      <c r="D98" s="8" t="str">
        <f>IFERROR(__xludf.DUMMYFUNCTION("""COMPUTED_VALUE"""),"MI")</f>
        <v>MI</v>
      </c>
      <c r="E98" s="8" t="str">
        <f>IFERROR(__xludf.DUMMYFUNCTION("""COMPUTED_VALUE"""),"USA")</f>
        <v>USA</v>
      </c>
      <c r="F98" s="8" t="str">
        <f>IFERROR(__xludf.DUMMYFUNCTION("""COMPUTED_VALUE"""),"PRO CRICKET DBLS")</f>
        <v>PRO CRICKET DBLS</v>
      </c>
      <c r="G98" s="8" t="str">
        <f>IFERROR(__xludf.DUMMYFUNCTION("""COMPUTED_VALUE"""),"4")</f>
        <v>4</v>
      </c>
      <c r="H98" s="8" t="str">
        <f>IFERROR(__xludf.DUMMYFUNCTION("""COMPUTED_VALUE"""),"BS 37 FINALS")</f>
        <v>BS 37 FINALS</v>
      </c>
      <c r="I98" s="9">
        <f>IFERROR(__xludf.DUMMYFUNCTION("""COMPUTED_VALUE"""),45078.0)</f>
        <v>45078</v>
      </c>
      <c r="J98" s="9">
        <f>IFERROR(__xludf.DUMMYFUNCTION("""COMPUTED_VALUE"""),46174.0)</f>
        <v>46174</v>
      </c>
      <c r="K98" s="13">
        <f>IFERROR(__xludf.DUMMYFUNCTION("""COMPUTED_VALUE"""),47270.0)</f>
        <v>47270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7" t="str">
        <f>IFERROR(__xludf.DUMMYFUNCTION("""COMPUTED_VALUE"""),"Taylor")</f>
        <v>Taylor</v>
      </c>
      <c r="B99" s="8" t="str">
        <f>IFERROR(__xludf.DUMMYFUNCTION("""COMPUTED_VALUE"""),"Phil")</f>
        <v>Phil</v>
      </c>
      <c r="C99" s="8"/>
      <c r="D99" s="8" t="str">
        <f>IFERROR(__xludf.DUMMYFUNCTION("""COMPUTED_VALUE"""),"UNK")</f>
        <v>UNK</v>
      </c>
      <c r="E99" s="8" t="str">
        <f>IFERROR(__xludf.DUMMYFUNCTION("""COMPUTED_VALUE"""),"England")</f>
        <v>England</v>
      </c>
      <c r="F99" s="8" t="str">
        <f>IFERROR(__xludf.DUMMYFUNCTION("""COMPUTED_VALUE"""),"PDC Merit Ranking")</f>
        <v>PDC Merit Ranking</v>
      </c>
      <c r="G99" s="8" t="str">
        <f>IFERROR(__xludf.DUMMYFUNCTION("""COMPUTED_VALUE"""),"6th")</f>
        <v>6th</v>
      </c>
      <c r="H99" s="8" t="str">
        <f>IFERROR(__xludf.DUMMYFUNCTION("""COMPUTED_VALUE"""),"Known Ability")</f>
        <v>Known Ability</v>
      </c>
      <c r="I99" s="9">
        <f>IFERROR(__xludf.DUMMYFUNCTION("""COMPUTED_VALUE"""),42767.0)</f>
        <v>42767</v>
      </c>
      <c r="J99" s="9"/>
      <c r="K99" s="13">
        <f>IFERROR(__xludf.DUMMYFUNCTION("""COMPUTED_VALUE"""),47635.0)</f>
        <v>47635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7" t="str">
        <f>IFERROR(__xludf.DUMMYFUNCTION("""COMPUTED_VALUE"""),"THAXTON")</f>
        <v>THAXTON</v>
      </c>
      <c r="B100" s="8" t="str">
        <f>IFERROR(__xludf.DUMMYFUNCTION("""COMPUTED_VALUE"""),"CARY")</f>
        <v>CARY</v>
      </c>
      <c r="C100" s="8" t="str">
        <f>IFERROR(__xludf.DUMMYFUNCTION("""COMPUTED_VALUE"""),"WEST CHESTER")</f>
        <v>WEST CHESTER</v>
      </c>
      <c r="D100" s="8" t="str">
        <f>IFERROR(__xludf.DUMMYFUNCTION("""COMPUTED_VALUE"""),"OH")</f>
        <v>OH</v>
      </c>
      <c r="E100" s="8" t="str">
        <f>IFERROR(__xludf.DUMMYFUNCTION("""COMPUTED_VALUE"""),"USA")</f>
        <v>USA</v>
      </c>
      <c r="F100" s="8" t="str">
        <f>IFERROR(__xludf.DUMMYFUNCTION("""COMPUTED_VALUE"""),"Pro Cricket Dbls")</f>
        <v>Pro Cricket Dbls</v>
      </c>
      <c r="G100" s="8" t="str">
        <f>IFERROR(__xludf.DUMMYFUNCTION("""COMPUTED_VALUE"""),"2nd")</f>
        <v>2nd</v>
      </c>
      <c r="H100" s="8" t="str">
        <f>IFERROR(__xludf.DUMMYFUNCTION("""COMPUTED_VALUE"""),"BS 38 Finals")</f>
        <v>BS 38 Finals</v>
      </c>
      <c r="I100" s="9">
        <f>IFERROR(__xludf.DUMMYFUNCTION("""COMPUTED_VALUE"""),45078.0)</f>
        <v>45078</v>
      </c>
      <c r="J100" s="9">
        <f>IFERROR(__xludf.DUMMYFUNCTION("""COMPUTED_VALUE"""),46539.0)</f>
        <v>46539</v>
      </c>
      <c r="K100" s="13">
        <f>IFERROR(__xludf.DUMMYFUNCTION("""COMPUTED_VALUE"""),47635.0)</f>
        <v>47635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7" t="str">
        <f>IFERROR(__xludf.DUMMYFUNCTION("""COMPUTED_VALUE"""),"Thompson")</f>
        <v>Thompson</v>
      </c>
      <c r="B101" s="8" t="str">
        <f>IFERROR(__xludf.DUMMYFUNCTION("""COMPUTED_VALUE"""),"Matthew")</f>
        <v>Matthew</v>
      </c>
      <c r="C101" s="8"/>
      <c r="D101" s="8"/>
      <c r="E101" s="8"/>
      <c r="F101" s="8" t="str">
        <f>IFERROR(__xludf.DUMMYFUNCTION("""COMPUTED_VALUE"""),"ADO List 2024")</f>
        <v>ADO List 2024</v>
      </c>
      <c r="G101" s="8"/>
      <c r="H101" s="8"/>
      <c r="I101" s="9">
        <f>IFERROR(__xludf.DUMMYFUNCTION("""COMPUTED_VALUE"""),45444.0)</f>
        <v>45444</v>
      </c>
      <c r="J101" s="9">
        <f>IFERROR(__xludf.DUMMYFUNCTION("""COMPUTED_VALUE"""),46539.0)</f>
        <v>46539</v>
      </c>
      <c r="K101" s="13">
        <f>IFERROR(__xludf.DUMMYFUNCTION("""COMPUTED_VALUE"""),47635.0)</f>
        <v>47635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7" t="str">
        <f>IFERROR(__xludf.DUMMYFUNCTION("""COMPUTED_VALUE"""),"VAN DONGEN")</f>
        <v>VAN DONGEN</v>
      </c>
      <c r="B102" s="8" t="str">
        <f>IFERROR(__xludf.DUMMYFUNCTION("""COMPUTED_VALUE"""),"JULES")</f>
        <v>JULES</v>
      </c>
      <c r="C102" s="8" t="str">
        <f>IFERROR(__xludf.DUMMYFUNCTION("""COMPUTED_VALUE"""),"PARKVILLE")</f>
        <v>PARKVILLE</v>
      </c>
      <c r="D102" s="8" t="str">
        <f>IFERROR(__xludf.DUMMYFUNCTION("""COMPUTED_VALUE"""),"MO")</f>
        <v>MO</v>
      </c>
      <c r="E102" s="8" t="str">
        <f>IFERROR(__xludf.DUMMYFUNCTION("""COMPUTED_VALUE"""),"USA")</f>
        <v>USA</v>
      </c>
      <c r="F102" s="8" t="str">
        <f>IFERROR(__xludf.DUMMYFUNCTION("""COMPUTED_VALUE"""),"Pro AA 501 Dbls")</f>
        <v>Pro AA 501 Dbls</v>
      </c>
      <c r="G102" s="8" t="str">
        <f>IFERROR(__xludf.DUMMYFUNCTION("""COMPUTED_VALUE"""),"1st")</f>
        <v>1st</v>
      </c>
      <c r="H102" s="8" t="str">
        <f>IFERROR(__xludf.DUMMYFUNCTION("""COMPUTED_VALUE"""),"BS 38 Finals")</f>
        <v>BS 38 Finals</v>
      </c>
      <c r="I102" s="9">
        <f>IFERROR(__xludf.DUMMYFUNCTION("""COMPUTED_VALUE"""),45078.0)</f>
        <v>45078</v>
      </c>
      <c r="J102" s="9">
        <f>IFERROR(__xludf.DUMMYFUNCTION("""COMPUTED_VALUE"""),46539.0)</f>
        <v>46539</v>
      </c>
      <c r="K102" s="13">
        <f>IFERROR(__xludf.DUMMYFUNCTION("""COMPUTED_VALUE"""),47635.0)</f>
        <v>47635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7" t="str">
        <f>IFERROR(__xludf.DUMMYFUNCTION("""COMPUTED_VALUE"""),"Vaughn")</f>
        <v>Vaughn</v>
      </c>
      <c r="B103" s="8" t="str">
        <f>IFERROR(__xludf.DUMMYFUNCTION("""COMPUTED_VALUE"""),"Sidney")</f>
        <v>Sidney</v>
      </c>
      <c r="C103" s="8" t="str">
        <f>IFERROR(__xludf.DUMMYFUNCTION("""COMPUTED_VALUE"""),"Canonsburg")</f>
        <v>Canonsburg</v>
      </c>
      <c r="D103" s="8" t="str">
        <f>IFERROR(__xludf.DUMMYFUNCTION("""COMPUTED_VALUE"""),"PA")</f>
        <v>PA</v>
      </c>
      <c r="E103" s="8" t="str">
        <f>IFERROR(__xludf.DUMMYFUNCTION("""COMPUTED_VALUE"""),"USA")</f>
        <v>USA</v>
      </c>
      <c r="F103" s="8" t="str">
        <f>IFERROR(__xludf.DUMMYFUNCTION("""COMPUTED_VALUE"""),"PRO AA DBLS 501")</f>
        <v>PRO AA DBLS 501</v>
      </c>
      <c r="G103" s="8" t="str">
        <f>IFERROR(__xludf.DUMMYFUNCTION("""COMPUTED_VALUE"""),"3RD")</f>
        <v>3RD</v>
      </c>
      <c r="H103" s="8" t="str">
        <f>IFERROR(__xludf.DUMMYFUNCTION("""COMPUTED_VALUE"""),"BULLSHOOTER 36 FINALS")</f>
        <v>BULLSHOOTER 36 FINALS</v>
      </c>
      <c r="I103" s="9">
        <f>IFERROR(__xludf.DUMMYFUNCTION("""COMPUTED_VALUE"""),44713.0)</f>
        <v>44713</v>
      </c>
      <c r="J103" s="9">
        <f>IFERROR(__xludf.DUMMYFUNCTION("""COMPUTED_VALUE"""),45809.0)</f>
        <v>45809</v>
      </c>
      <c r="K103" s="13">
        <f>IFERROR(__xludf.DUMMYFUNCTION("""COMPUTED_VALUE"""),46905.0)</f>
        <v>46905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7" t="str">
        <f>IFERROR(__xludf.DUMMYFUNCTION("""COMPUTED_VALUE"""),"WATT")</f>
        <v>WATT</v>
      </c>
      <c r="B104" s="8" t="str">
        <f>IFERROR(__xludf.DUMMYFUNCTION("""COMPUTED_VALUE"""),"JASON")</f>
        <v>JASON</v>
      </c>
      <c r="C104" s="8" t="str">
        <f>IFERROR(__xludf.DUMMYFUNCTION("""COMPUTED_VALUE"""),"PRINCETON")</f>
        <v>PRINCETON</v>
      </c>
      <c r="D104" s="8" t="str">
        <f>IFERROR(__xludf.DUMMYFUNCTION("""COMPUTED_VALUE"""),"IN")</f>
        <v>IN</v>
      </c>
      <c r="E104" s="8" t="str">
        <f>IFERROR(__xludf.DUMMYFUNCTION("""COMPUTED_VALUE"""),"USA")</f>
        <v>USA</v>
      </c>
      <c r="F104" s="8" t="str">
        <f>IFERROR(__xludf.DUMMYFUNCTION("""COMPUTED_VALUE"""),"Pro Cricket Dbls")</f>
        <v>Pro Cricket Dbls</v>
      </c>
      <c r="G104" s="8" t="str">
        <f>IFERROR(__xludf.DUMMYFUNCTION("""COMPUTED_VALUE"""),"1st")</f>
        <v>1st</v>
      </c>
      <c r="H104" s="8" t="str">
        <f>IFERROR(__xludf.DUMMYFUNCTION("""COMPUTED_VALUE"""),"BS 38 Finals")</f>
        <v>BS 38 Finals</v>
      </c>
      <c r="I104" s="9">
        <f>IFERROR(__xludf.DUMMYFUNCTION("""COMPUTED_VALUE"""),44713.0)</f>
        <v>44713</v>
      </c>
      <c r="J104" s="9">
        <f>IFERROR(__xludf.DUMMYFUNCTION("""COMPUTED_VALUE"""),46539.0)</f>
        <v>46539</v>
      </c>
      <c r="K104" s="13">
        <f>IFERROR(__xludf.DUMMYFUNCTION("""COMPUTED_VALUE"""),47635.0)</f>
        <v>47635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7" t="str">
        <f>IFERROR(__xludf.DUMMYFUNCTION("""COMPUTED_VALUE"""),"Waugh")</f>
        <v>Waugh</v>
      </c>
      <c r="B105" s="8" t="str">
        <f>IFERROR(__xludf.DUMMYFUNCTION("""COMPUTED_VALUE"""),"Jay")</f>
        <v>Jay</v>
      </c>
      <c r="C105" s="8"/>
      <c r="D105" s="8"/>
      <c r="E105" s="8"/>
      <c r="F105" s="8" t="str">
        <f>IFERROR(__xludf.DUMMYFUNCTION("""COMPUTED_VALUE"""),"ADO List 2024")</f>
        <v>ADO List 2024</v>
      </c>
      <c r="G105" s="8"/>
      <c r="H105" s="8"/>
      <c r="I105" s="9">
        <f>IFERROR(__xludf.DUMMYFUNCTION("""COMPUTED_VALUE"""),45444.0)</f>
        <v>45444</v>
      </c>
      <c r="J105" s="9">
        <f>IFERROR(__xludf.DUMMYFUNCTION("""COMPUTED_VALUE"""),46539.0)</f>
        <v>46539</v>
      </c>
      <c r="K105" s="13">
        <f>IFERROR(__xludf.DUMMYFUNCTION("""COMPUTED_VALUE"""),47635.0)</f>
        <v>47635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7" t="str">
        <f>IFERROR(__xludf.DUMMYFUNCTION("""COMPUTED_VALUE"""),"White")</f>
        <v>White</v>
      </c>
      <c r="B106" s="8" t="str">
        <f>IFERROR(__xludf.DUMMYFUNCTION("""COMPUTED_VALUE"""),"Robert")</f>
        <v>Robert</v>
      </c>
      <c r="C106" s="8" t="str">
        <f>IFERROR(__xludf.DUMMYFUNCTION("""COMPUTED_VALUE"""),"Paw Paw")</f>
        <v>Paw Paw</v>
      </c>
      <c r="D106" s="8" t="str">
        <f>IFERROR(__xludf.DUMMYFUNCTION("""COMPUTED_VALUE"""),"IL")</f>
        <v>IL</v>
      </c>
      <c r="E106" s="8" t="str">
        <f>IFERROR(__xludf.DUMMYFUNCTION("""COMPUTED_VALUE"""),"USA")</f>
        <v>USA</v>
      </c>
      <c r="F106" s="8" t="str">
        <f>IFERROR(__xludf.DUMMYFUNCTION("""COMPUTED_VALUE"""),"PRO DBLS CRICKET")</f>
        <v>PRO DBLS CRICKET</v>
      </c>
      <c r="G106" s="8" t="str">
        <f>IFERROR(__xludf.DUMMYFUNCTION("""COMPUTED_VALUE"""),"4TH")</f>
        <v>4TH</v>
      </c>
      <c r="H106" s="8" t="str">
        <f>IFERROR(__xludf.DUMMYFUNCTION("""COMPUTED_VALUE"""),"BULLSHOOTER 36 FINALS")</f>
        <v>BULLSHOOTER 36 FINALS</v>
      </c>
      <c r="I106" s="9">
        <f>IFERROR(__xludf.DUMMYFUNCTION("""COMPUTED_VALUE"""),44713.0)</f>
        <v>44713</v>
      </c>
      <c r="J106" s="9">
        <f>IFERROR(__xludf.DUMMYFUNCTION("""COMPUTED_VALUE"""),45809.0)</f>
        <v>45809</v>
      </c>
      <c r="K106" s="13">
        <f>IFERROR(__xludf.DUMMYFUNCTION("""COMPUTED_VALUE"""),46905.0)</f>
        <v>46905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7" t="str">
        <f>IFERROR(__xludf.DUMMYFUNCTION("""COMPUTED_VALUE"""),"Widmayer")</f>
        <v>Widmayer</v>
      </c>
      <c r="B107" s="8" t="str">
        <f>IFERROR(__xludf.DUMMYFUNCTION("""COMPUTED_VALUE"""),"Jim")</f>
        <v>Jim</v>
      </c>
      <c r="C107" s="8"/>
      <c r="D107" s="8"/>
      <c r="E107" s="8"/>
      <c r="F107" s="8" t="str">
        <f>IFERROR(__xludf.DUMMYFUNCTION("""COMPUTED_VALUE"""),"ADO List 2024")</f>
        <v>ADO List 2024</v>
      </c>
      <c r="G107" s="8"/>
      <c r="H107" s="8"/>
      <c r="I107" s="9">
        <f>IFERROR(__xludf.DUMMYFUNCTION("""COMPUTED_VALUE"""),45444.0)</f>
        <v>45444</v>
      </c>
      <c r="J107" s="9">
        <f>IFERROR(__xludf.DUMMYFUNCTION("""COMPUTED_VALUE"""),46539.0)</f>
        <v>46539</v>
      </c>
      <c r="K107" s="13">
        <f>IFERROR(__xludf.DUMMYFUNCTION("""COMPUTED_VALUE"""),47635.0)</f>
        <v>47635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7" t="str">
        <f>IFERROR(__xludf.DUMMYFUNCTION("""COMPUTED_VALUE"""),"Wiles")</f>
        <v>Wiles</v>
      </c>
      <c r="B108" s="8" t="str">
        <f>IFERROR(__xludf.DUMMYFUNCTION("""COMPUTED_VALUE"""),"Bob")</f>
        <v>Bob</v>
      </c>
      <c r="C108" s="8" t="str">
        <f>IFERROR(__xludf.DUMMYFUNCTION("""COMPUTED_VALUE"""),"Levittown")</f>
        <v>Levittown</v>
      </c>
      <c r="D108" s="8" t="str">
        <f>IFERROR(__xludf.DUMMYFUNCTION("""COMPUTED_VALUE"""),"PA")</f>
        <v>PA</v>
      </c>
      <c r="E108" s="8" t="str">
        <f>IFERROR(__xludf.DUMMYFUNCTION("""COMPUTED_VALUE"""),"USA")</f>
        <v>USA</v>
      </c>
      <c r="F108" s="8" t="str">
        <f>IFERROR(__xludf.DUMMYFUNCTION("""COMPUTED_VALUE"""),"Asia Champ")</f>
        <v>Asia Champ</v>
      </c>
      <c r="G108" s="8"/>
      <c r="H108" s="8" t="str">
        <f>IFERROR(__xludf.DUMMYFUNCTION("""COMPUTED_VALUE"""),"Known Ability")</f>
        <v>Known Ability</v>
      </c>
      <c r="I108" s="9">
        <f>IFERROR(__xludf.DUMMYFUNCTION("""COMPUTED_VALUE"""),40330.0)</f>
        <v>40330</v>
      </c>
      <c r="J108" s="9"/>
      <c r="K108" s="13">
        <f>IFERROR(__xludf.DUMMYFUNCTION("""COMPUTED_VALUE"""),47635.0)</f>
        <v>47635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7" t="str">
        <f>IFERROR(__xludf.DUMMYFUNCTION("""COMPUTED_VALUE"""),"WILLIS")</f>
        <v>WILLIS</v>
      </c>
      <c r="B109" s="8" t="str">
        <f>IFERROR(__xludf.DUMMYFUNCTION("""COMPUTED_VALUE"""),"CODY")</f>
        <v>CODY</v>
      </c>
      <c r="C109" s="8" t="str">
        <f>IFERROR(__xludf.DUMMYFUNCTION("""COMPUTED_VALUE"""),"SPRINGFIELD")</f>
        <v>SPRINGFIELD</v>
      </c>
      <c r="D109" s="8" t="str">
        <f>IFERROR(__xludf.DUMMYFUNCTION("""COMPUTED_VALUE"""),"IL")</f>
        <v>IL</v>
      </c>
      <c r="E109" s="8" t="str">
        <f>IFERROR(__xludf.DUMMYFUNCTION("""COMPUTED_VALUE"""),"USA")</f>
        <v>USA</v>
      </c>
      <c r="F109" s="8" t="str">
        <f>IFERROR(__xludf.DUMMYFUNCTION("""COMPUTED_VALUE"""),"PRO AA CRICKET DBLS")</f>
        <v>PRO AA CRICKET DBLS</v>
      </c>
      <c r="G109" s="8" t="str">
        <f>IFERROR(__xludf.DUMMYFUNCTION("""COMPUTED_VALUE"""),"4")</f>
        <v>4</v>
      </c>
      <c r="H109" s="8" t="str">
        <f>IFERROR(__xludf.DUMMYFUNCTION("""COMPUTED_VALUE"""),"BS 37 FINALS")</f>
        <v>BS 37 FINALS</v>
      </c>
      <c r="I109" s="9">
        <f>IFERROR(__xludf.DUMMYFUNCTION("""COMPUTED_VALUE"""),45078.0)</f>
        <v>45078</v>
      </c>
      <c r="J109" s="9">
        <f>IFERROR(__xludf.DUMMYFUNCTION("""COMPUTED_VALUE"""),46174.0)</f>
        <v>46174</v>
      </c>
      <c r="K109" s="13">
        <f>IFERROR(__xludf.DUMMYFUNCTION("""COMPUTED_VALUE"""),47270.0)</f>
        <v>47270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7" t="str">
        <f>IFERROR(__xludf.DUMMYFUNCTION("""COMPUTED_VALUE"""),"Witherby")</f>
        <v>Witherby</v>
      </c>
      <c r="B110" s="8" t="str">
        <f>IFERROR(__xludf.DUMMYFUNCTION("""COMPUTED_VALUE"""),"Kurtis")</f>
        <v>Kurtis</v>
      </c>
      <c r="C110" s="8" t="str">
        <f>IFERROR(__xludf.DUMMYFUNCTION("""COMPUTED_VALUE"""),"Machesney Park")</f>
        <v>Machesney Park</v>
      </c>
      <c r="D110" s="8" t="str">
        <f>IFERROR(__xludf.DUMMYFUNCTION("""COMPUTED_VALUE"""),"IL")</f>
        <v>IL</v>
      </c>
      <c r="E110" s="8" t="str">
        <f>IFERROR(__xludf.DUMMYFUNCTION("""COMPUTED_VALUE"""),"USA")</f>
        <v>USA</v>
      </c>
      <c r="F110" s="8" t="str">
        <f>IFERROR(__xludf.DUMMYFUNCTION("""COMPUTED_VALUE"""),"Pro Luck Cricket")</f>
        <v>Pro Luck Cricket</v>
      </c>
      <c r="G110" s="8" t="str">
        <f>IFERROR(__xludf.DUMMYFUNCTION("""COMPUTED_VALUE"""),"2nd")</f>
        <v>2nd</v>
      </c>
      <c r="H110" s="8" t="str">
        <f>IFERROR(__xludf.DUMMYFUNCTION("""COMPUTED_VALUE"""),"BS 38 Finals")</f>
        <v>BS 38 Finals</v>
      </c>
      <c r="I110" s="9">
        <f>IFERROR(__xludf.DUMMYFUNCTION("""COMPUTED_VALUE"""),43617.0)</f>
        <v>43617</v>
      </c>
      <c r="J110" s="9">
        <f>IFERROR(__xludf.DUMMYFUNCTION("""COMPUTED_VALUE"""),46539.0)</f>
        <v>46539</v>
      </c>
      <c r="K110" s="13">
        <f>IFERROR(__xludf.DUMMYFUNCTION("""COMPUTED_VALUE"""),47635.0)</f>
        <v>47635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7" t="str">
        <f>IFERROR(__xludf.DUMMYFUNCTION("""COMPUTED_VALUE"""),"Yeast")</f>
        <v>Yeast</v>
      </c>
      <c r="B111" s="8" t="str">
        <f>IFERROR(__xludf.DUMMYFUNCTION("""COMPUTED_VALUE"""),"Nicholas")</f>
        <v>Nicholas</v>
      </c>
      <c r="C111" s="8" t="str">
        <f>IFERROR(__xludf.DUMMYFUNCTION("""COMPUTED_VALUE"""),"Galesburg")</f>
        <v>Galesburg</v>
      </c>
      <c r="D111" s="8" t="str">
        <f>IFERROR(__xludf.DUMMYFUNCTION("""COMPUTED_VALUE"""),"IL")</f>
        <v>IL</v>
      </c>
      <c r="E111" s="8" t="str">
        <f>IFERROR(__xludf.DUMMYFUNCTION("""COMPUTED_VALUE"""),"USA")</f>
        <v>USA</v>
      </c>
      <c r="F111" s="8" t="str">
        <f>IFERROR(__xludf.DUMMYFUNCTION("""COMPUTED_VALUE"""),"PRO DBLS CRICKET")</f>
        <v>PRO DBLS CRICKET</v>
      </c>
      <c r="G111" s="8" t="str">
        <f>IFERROR(__xludf.DUMMYFUNCTION("""COMPUTED_VALUE"""),"4TH")</f>
        <v>4TH</v>
      </c>
      <c r="H111" s="8" t="str">
        <f>IFERROR(__xludf.DUMMYFUNCTION("""COMPUTED_VALUE"""),"BULLSHOOTER 36 FINALS")</f>
        <v>BULLSHOOTER 36 FINALS</v>
      </c>
      <c r="I111" s="9">
        <f>IFERROR(__xludf.DUMMYFUNCTION("""COMPUTED_VALUE"""),44713.0)</f>
        <v>44713</v>
      </c>
      <c r="J111" s="9">
        <f>IFERROR(__xludf.DUMMYFUNCTION("""COMPUTED_VALUE"""),45809.0)</f>
        <v>45809</v>
      </c>
      <c r="K111" s="13">
        <f>IFERROR(__xludf.DUMMYFUNCTION("""COMPUTED_VALUE"""),46905.0)</f>
        <v>46905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7" t="str">
        <f>IFERROR(__xludf.DUMMYFUNCTION("""COMPUTED_VALUE"""),"Young Jr")</f>
        <v>Young Jr</v>
      </c>
      <c r="B112" s="8" t="str">
        <f>IFERROR(__xludf.DUMMYFUNCTION("""COMPUTED_VALUE"""),"Danny")</f>
        <v>Danny</v>
      </c>
      <c r="C112" s="8"/>
      <c r="D112" s="8"/>
      <c r="E112" s="8"/>
      <c r="F112" s="8" t="str">
        <f>IFERROR(__xludf.DUMMYFUNCTION("""COMPUTED_VALUE"""),"ADO List 2024")</f>
        <v>ADO List 2024</v>
      </c>
      <c r="G112" s="8"/>
      <c r="H112" s="8"/>
      <c r="I112" s="9">
        <f>IFERROR(__xludf.DUMMYFUNCTION("""COMPUTED_VALUE"""),45444.0)</f>
        <v>45444</v>
      </c>
      <c r="J112" s="9">
        <f>IFERROR(__xludf.DUMMYFUNCTION("""COMPUTED_VALUE"""),46539.0)</f>
        <v>46539</v>
      </c>
      <c r="K112" s="13">
        <f>IFERROR(__xludf.DUMMYFUNCTION("""COMPUTED_VALUE"""),47635.0)</f>
        <v>47635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7"/>
      <c r="B113" s="8"/>
      <c r="C113" s="8"/>
      <c r="D113" s="8"/>
      <c r="E113" s="8"/>
      <c r="F113" s="8"/>
      <c r="G113" s="8"/>
      <c r="H113" s="8"/>
      <c r="I113" s="9"/>
      <c r="J113" s="9"/>
      <c r="K113" s="10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7"/>
      <c r="B114" s="8"/>
      <c r="C114" s="8"/>
      <c r="D114" s="8"/>
      <c r="E114" s="8"/>
      <c r="F114" s="8"/>
      <c r="G114" s="8"/>
      <c r="H114" s="8"/>
      <c r="I114" s="9"/>
      <c r="J114" s="9"/>
      <c r="K114" s="10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7"/>
      <c r="B115" s="8"/>
      <c r="C115" s="8"/>
      <c r="D115" s="8"/>
      <c r="E115" s="8"/>
      <c r="F115" s="8"/>
      <c r="G115" s="8"/>
      <c r="H115" s="8"/>
      <c r="I115" s="9"/>
      <c r="J115" s="9"/>
      <c r="K115" s="10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7"/>
      <c r="B116" s="8"/>
      <c r="C116" s="8"/>
      <c r="D116" s="8"/>
      <c r="E116" s="8"/>
      <c r="F116" s="8"/>
      <c r="G116" s="8"/>
      <c r="H116" s="8"/>
      <c r="I116" s="9"/>
      <c r="J116" s="9"/>
      <c r="K116" s="10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7"/>
      <c r="B117" s="8"/>
      <c r="C117" s="8"/>
      <c r="D117" s="8"/>
      <c r="E117" s="8"/>
      <c r="F117" s="8"/>
      <c r="G117" s="8"/>
      <c r="H117" s="8"/>
      <c r="I117" s="9"/>
      <c r="J117" s="9"/>
      <c r="K117" s="10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7"/>
      <c r="B118" s="8"/>
      <c r="C118" s="8"/>
      <c r="D118" s="8"/>
      <c r="E118" s="8"/>
      <c r="F118" s="8"/>
      <c r="G118" s="8"/>
      <c r="H118" s="8"/>
      <c r="I118" s="9"/>
      <c r="J118" s="9"/>
      <c r="K118" s="10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7"/>
      <c r="B119" s="8"/>
      <c r="C119" s="8"/>
      <c r="D119" s="8"/>
      <c r="E119" s="8"/>
      <c r="F119" s="8"/>
      <c r="G119" s="8"/>
      <c r="H119" s="8"/>
      <c r="I119" s="9"/>
      <c r="J119" s="9"/>
      <c r="K119" s="10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7"/>
      <c r="B120" s="8"/>
      <c r="C120" s="8"/>
      <c r="D120" s="8"/>
      <c r="E120" s="8"/>
      <c r="F120" s="8"/>
      <c r="G120" s="8"/>
      <c r="H120" s="8"/>
      <c r="I120" s="9"/>
      <c r="J120" s="9"/>
      <c r="K120" s="10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7"/>
      <c r="B121" s="8"/>
      <c r="C121" s="8"/>
      <c r="D121" s="8"/>
      <c r="E121" s="8"/>
      <c r="F121" s="8"/>
      <c r="G121" s="8"/>
      <c r="H121" s="8"/>
      <c r="I121" s="9"/>
      <c r="J121" s="9"/>
      <c r="K121" s="10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7"/>
      <c r="B122" s="8"/>
      <c r="C122" s="8"/>
      <c r="D122" s="8"/>
      <c r="E122" s="8"/>
      <c r="F122" s="8"/>
      <c r="G122" s="8"/>
      <c r="H122" s="8"/>
      <c r="I122" s="9"/>
      <c r="J122" s="9"/>
      <c r="K122" s="10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7"/>
      <c r="B123" s="8"/>
      <c r="C123" s="8"/>
      <c r="D123" s="8"/>
      <c r="E123" s="8"/>
      <c r="F123" s="8"/>
      <c r="G123" s="8"/>
      <c r="H123" s="8"/>
      <c r="I123" s="9"/>
      <c r="J123" s="9"/>
      <c r="K123" s="10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7"/>
      <c r="B124" s="8"/>
      <c r="C124" s="8"/>
      <c r="D124" s="8"/>
      <c r="E124" s="8"/>
      <c r="F124" s="8"/>
      <c r="G124" s="8"/>
      <c r="H124" s="8"/>
      <c r="I124" s="9"/>
      <c r="J124" s="9"/>
      <c r="K124" s="10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7"/>
      <c r="B125" s="8"/>
      <c r="C125" s="8"/>
      <c r="D125" s="8"/>
      <c r="E125" s="8"/>
      <c r="F125" s="8"/>
      <c r="G125" s="8"/>
      <c r="H125" s="8"/>
      <c r="I125" s="9"/>
      <c r="J125" s="9"/>
      <c r="K125" s="10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7"/>
      <c r="B126" s="8"/>
      <c r="C126" s="8"/>
      <c r="D126" s="8"/>
      <c r="E126" s="8"/>
      <c r="F126" s="8"/>
      <c r="G126" s="8"/>
      <c r="H126" s="8"/>
      <c r="I126" s="9"/>
      <c r="J126" s="9"/>
      <c r="K126" s="10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7"/>
      <c r="B127" s="8"/>
      <c r="C127" s="8"/>
      <c r="D127" s="8"/>
      <c r="E127" s="8"/>
      <c r="F127" s="8"/>
      <c r="G127" s="8"/>
      <c r="H127" s="8"/>
      <c r="I127" s="9"/>
      <c r="J127" s="9"/>
      <c r="K127" s="10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7"/>
      <c r="B128" s="8"/>
      <c r="C128" s="8"/>
      <c r="D128" s="8"/>
      <c r="E128" s="8"/>
      <c r="F128" s="8"/>
      <c r="G128" s="8"/>
      <c r="H128" s="8"/>
      <c r="I128" s="9"/>
      <c r="J128" s="9"/>
      <c r="K128" s="10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7"/>
      <c r="B129" s="8"/>
      <c r="C129" s="8"/>
      <c r="D129" s="8"/>
      <c r="E129" s="8"/>
      <c r="F129" s="8"/>
      <c r="G129" s="8"/>
      <c r="H129" s="8"/>
      <c r="I129" s="9"/>
      <c r="J129" s="9"/>
      <c r="K129" s="10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7"/>
      <c r="B130" s="8"/>
      <c r="C130" s="8"/>
      <c r="D130" s="8"/>
      <c r="E130" s="8"/>
      <c r="F130" s="8"/>
      <c r="G130" s="8"/>
      <c r="H130" s="8"/>
      <c r="I130" s="9"/>
      <c r="J130" s="9"/>
      <c r="K130" s="10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7"/>
      <c r="B131" s="8"/>
      <c r="C131" s="8"/>
      <c r="D131" s="8"/>
      <c r="E131" s="8"/>
      <c r="F131" s="8"/>
      <c r="G131" s="8"/>
      <c r="H131" s="8"/>
      <c r="I131" s="9"/>
      <c r="J131" s="9"/>
      <c r="K131" s="10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7"/>
      <c r="B132" s="8"/>
      <c r="C132" s="8"/>
      <c r="D132" s="8"/>
      <c r="E132" s="8"/>
      <c r="F132" s="8"/>
      <c r="G132" s="8"/>
      <c r="H132" s="8"/>
      <c r="I132" s="9"/>
      <c r="J132" s="9"/>
      <c r="K132" s="10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7"/>
      <c r="B133" s="8"/>
      <c r="C133" s="8"/>
      <c r="D133" s="8"/>
      <c r="E133" s="8"/>
      <c r="F133" s="8"/>
      <c r="G133" s="8"/>
      <c r="H133" s="8"/>
      <c r="I133" s="9"/>
      <c r="J133" s="9"/>
      <c r="K133" s="10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7"/>
      <c r="B134" s="8"/>
      <c r="C134" s="8"/>
      <c r="D134" s="8"/>
      <c r="E134" s="8"/>
      <c r="F134" s="8"/>
      <c r="G134" s="8"/>
      <c r="H134" s="8"/>
      <c r="I134" s="9"/>
      <c r="J134" s="9"/>
      <c r="K134" s="10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7"/>
      <c r="B135" s="8"/>
      <c r="C135" s="8"/>
      <c r="D135" s="8"/>
      <c r="E135" s="8"/>
      <c r="F135" s="8"/>
      <c r="G135" s="8"/>
      <c r="H135" s="8"/>
      <c r="I135" s="9"/>
      <c r="J135" s="9"/>
      <c r="K135" s="10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7"/>
      <c r="B136" s="8"/>
      <c r="C136" s="8"/>
      <c r="D136" s="8"/>
      <c r="E136" s="8"/>
      <c r="F136" s="8"/>
      <c r="G136" s="8"/>
      <c r="H136" s="8"/>
      <c r="I136" s="9"/>
      <c r="J136" s="9"/>
      <c r="K136" s="10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7"/>
      <c r="B137" s="8"/>
      <c r="C137" s="8"/>
      <c r="D137" s="8"/>
      <c r="E137" s="8"/>
      <c r="F137" s="8"/>
      <c r="G137" s="8"/>
      <c r="H137" s="8"/>
      <c r="I137" s="9"/>
      <c r="J137" s="9"/>
      <c r="K137" s="10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7"/>
      <c r="B138" s="8"/>
      <c r="C138" s="8"/>
      <c r="D138" s="8"/>
      <c r="E138" s="8"/>
      <c r="F138" s="8"/>
      <c r="G138" s="8"/>
      <c r="H138" s="8"/>
      <c r="I138" s="9"/>
      <c r="J138" s="9"/>
      <c r="K138" s="10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7"/>
      <c r="B139" s="8"/>
      <c r="C139" s="8"/>
      <c r="D139" s="8"/>
      <c r="E139" s="8"/>
      <c r="F139" s="8"/>
      <c r="G139" s="8"/>
      <c r="H139" s="8"/>
      <c r="I139" s="9"/>
      <c r="J139" s="9"/>
      <c r="K139" s="10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7"/>
      <c r="B140" s="8"/>
      <c r="C140" s="8"/>
      <c r="D140" s="8"/>
      <c r="E140" s="8"/>
      <c r="F140" s="8"/>
      <c r="G140" s="8"/>
      <c r="H140" s="8"/>
      <c r="I140" s="9"/>
      <c r="J140" s="9"/>
      <c r="K140" s="10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7"/>
      <c r="B141" s="8"/>
      <c r="C141" s="8"/>
      <c r="D141" s="8"/>
      <c r="E141" s="8"/>
      <c r="F141" s="8"/>
      <c r="G141" s="8"/>
      <c r="H141" s="8"/>
      <c r="I141" s="9"/>
      <c r="J141" s="9"/>
      <c r="K141" s="10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7"/>
      <c r="B142" s="8"/>
      <c r="C142" s="8"/>
      <c r="D142" s="8"/>
      <c r="E142" s="8"/>
      <c r="F142" s="8"/>
      <c r="G142" s="8"/>
      <c r="H142" s="8"/>
      <c r="I142" s="9"/>
      <c r="J142" s="9"/>
      <c r="K142" s="10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7"/>
      <c r="B143" s="8"/>
      <c r="C143" s="8"/>
      <c r="D143" s="8"/>
      <c r="E143" s="8"/>
      <c r="F143" s="8"/>
      <c r="G143" s="8"/>
      <c r="H143" s="8"/>
      <c r="I143" s="9"/>
      <c r="J143" s="9"/>
      <c r="K143" s="10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7"/>
      <c r="B144" s="8"/>
      <c r="C144" s="8"/>
      <c r="D144" s="8"/>
      <c r="E144" s="8"/>
      <c r="F144" s="8"/>
      <c r="G144" s="8"/>
      <c r="H144" s="8"/>
      <c r="I144" s="9"/>
      <c r="J144" s="9"/>
      <c r="K144" s="10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7"/>
      <c r="B145" s="8"/>
      <c r="C145" s="8"/>
      <c r="D145" s="8"/>
      <c r="E145" s="8"/>
      <c r="F145" s="8"/>
      <c r="G145" s="8"/>
      <c r="H145" s="8"/>
      <c r="I145" s="9"/>
      <c r="J145" s="9"/>
      <c r="K145" s="10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7"/>
      <c r="B146" s="8"/>
      <c r="C146" s="8"/>
      <c r="D146" s="8"/>
      <c r="E146" s="8"/>
      <c r="F146" s="8"/>
      <c r="G146" s="8"/>
      <c r="H146" s="8"/>
      <c r="I146" s="9"/>
      <c r="J146" s="9"/>
      <c r="K146" s="10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7"/>
      <c r="B147" s="8"/>
      <c r="C147" s="8"/>
      <c r="D147" s="8"/>
      <c r="E147" s="8"/>
      <c r="F147" s="8"/>
      <c r="G147" s="8"/>
      <c r="H147" s="8"/>
      <c r="I147" s="9"/>
      <c r="J147" s="9"/>
      <c r="K147" s="10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7"/>
      <c r="B148" s="8"/>
      <c r="C148" s="8"/>
      <c r="D148" s="8"/>
      <c r="E148" s="8"/>
      <c r="F148" s="8"/>
      <c r="G148" s="8"/>
      <c r="H148" s="8"/>
      <c r="I148" s="9"/>
      <c r="J148" s="9"/>
      <c r="K148" s="10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7"/>
      <c r="B149" s="8"/>
      <c r="C149" s="8"/>
      <c r="D149" s="8"/>
      <c r="E149" s="8"/>
      <c r="F149" s="8"/>
      <c r="G149" s="8"/>
      <c r="H149" s="8"/>
      <c r="I149" s="9"/>
      <c r="J149" s="9"/>
      <c r="K149" s="10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7"/>
      <c r="B150" s="8"/>
      <c r="C150" s="8"/>
      <c r="D150" s="8"/>
      <c r="E150" s="8"/>
      <c r="F150" s="8"/>
      <c r="G150" s="8"/>
      <c r="H150" s="8"/>
      <c r="I150" s="9"/>
      <c r="J150" s="9"/>
      <c r="K150" s="10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7"/>
      <c r="B151" s="8"/>
      <c r="C151" s="8"/>
      <c r="D151" s="8"/>
      <c r="E151" s="8"/>
      <c r="F151" s="8"/>
      <c r="G151" s="8"/>
      <c r="H151" s="8"/>
      <c r="I151" s="9"/>
      <c r="J151" s="9"/>
      <c r="K151" s="10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7"/>
      <c r="B152" s="8"/>
      <c r="C152" s="8"/>
      <c r="D152" s="8"/>
      <c r="E152" s="8"/>
      <c r="F152" s="8"/>
      <c r="G152" s="8"/>
      <c r="H152" s="8"/>
      <c r="I152" s="9"/>
      <c r="J152" s="9"/>
      <c r="K152" s="10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7"/>
      <c r="B153" s="8"/>
      <c r="C153" s="8"/>
      <c r="D153" s="8"/>
      <c r="E153" s="8"/>
      <c r="F153" s="8"/>
      <c r="G153" s="8"/>
      <c r="H153" s="8"/>
      <c r="I153" s="9"/>
      <c r="J153" s="9"/>
      <c r="K153" s="10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7"/>
      <c r="B154" s="8"/>
      <c r="C154" s="8"/>
      <c r="D154" s="8"/>
      <c r="E154" s="8"/>
      <c r="F154" s="8"/>
      <c r="G154" s="8"/>
      <c r="H154" s="8"/>
      <c r="I154" s="9"/>
      <c r="J154" s="9"/>
      <c r="K154" s="10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7"/>
      <c r="B155" s="8"/>
      <c r="C155" s="8"/>
      <c r="D155" s="8"/>
      <c r="E155" s="8"/>
      <c r="F155" s="8"/>
      <c r="G155" s="8"/>
      <c r="H155" s="8"/>
      <c r="I155" s="9"/>
      <c r="J155" s="9"/>
      <c r="K155" s="10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7"/>
      <c r="B156" s="8"/>
      <c r="C156" s="8"/>
      <c r="D156" s="8"/>
      <c r="E156" s="8"/>
      <c r="F156" s="8"/>
      <c r="G156" s="8"/>
      <c r="H156" s="8"/>
      <c r="I156" s="9"/>
      <c r="J156" s="9"/>
      <c r="K156" s="10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7"/>
      <c r="B157" s="8"/>
      <c r="C157" s="8"/>
      <c r="D157" s="8"/>
      <c r="E157" s="8"/>
      <c r="F157" s="8"/>
      <c r="G157" s="8"/>
      <c r="H157" s="8"/>
      <c r="I157" s="9"/>
      <c r="J157" s="9"/>
      <c r="K157" s="10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7"/>
      <c r="B158" s="8"/>
      <c r="C158" s="8"/>
      <c r="D158" s="8"/>
      <c r="E158" s="8"/>
      <c r="F158" s="8"/>
      <c r="G158" s="8"/>
      <c r="H158" s="8"/>
      <c r="I158" s="9"/>
      <c r="J158" s="9"/>
      <c r="K158" s="10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7"/>
      <c r="B159" s="8"/>
      <c r="C159" s="8"/>
      <c r="D159" s="8"/>
      <c r="E159" s="8"/>
      <c r="F159" s="8"/>
      <c r="G159" s="8"/>
      <c r="H159" s="8"/>
      <c r="I159" s="9"/>
      <c r="J159" s="9"/>
      <c r="K159" s="1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11"/>
      <c r="B160" s="12"/>
      <c r="C160" s="12"/>
      <c r="D160" s="12"/>
      <c r="E160" s="12"/>
      <c r="F160" s="12"/>
      <c r="G160" s="12"/>
      <c r="H160" s="12"/>
      <c r="I160" s="14"/>
      <c r="J160" s="14"/>
      <c r="K160" s="1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7"/>
      <c r="B161" s="8"/>
      <c r="C161" s="8"/>
      <c r="D161" s="8"/>
      <c r="E161" s="8"/>
      <c r="F161" s="8"/>
      <c r="G161" s="8"/>
      <c r="H161" s="8"/>
      <c r="I161" s="9"/>
      <c r="J161" s="9"/>
      <c r="K161" s="10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7"/>
      <c r="B162" s="8"/>
      <c r="C162" s="8"/>
      <c r="D162" s="8"/>
      <c r="E162" s="8"/>
      <c r="F162" s="8"/>
      <c r="G162" s="8"/>
      <c r="H162" s="8"/>
      <c r="I162" s="9"/>
      <c r="J162" s="9"/>
      <c r="K162" s="10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7"/>
      <c r="B163" s="8"/>
      <c r="C163" s="8"/>
      <c r="D163" s="8"/>
      <c r="E163" s="8"/>
      <c r="F163" s="8"/>
      <c r="G163" s="8"/>
      <c r="H163" s="8"/>
      <c r="I163" s="9"/>
      <c r="J163" s="9"/>
      <c r="K163" s="10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7"/>
      <c r="B164" s="8"/>
      <c r="C164" s="8"/>
      <c r="D164" s="8"/>
      <c r="E164" s="8"/>
      <c r="F164" s="8"/>
      <c r="G164" s="8"/>
      <c r="H164" s="8"/>
      <c r="I164" s="9"/>
      <c r="J164" s="9"/>
      <c r="K164" s="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7"/>
      <c r="B165" s="8"/>
      <c r="C165" s="8"/>
      <c r="D165" s="8"/>
      <c r="E165" s="8"/>
      <c r="F165" s="8"/>
      <c r="G165" s="8"/>
      <c r="H165" s="8"/>
      <c r="I165" s="9"/>
      <c r="J165" s="9"/>
      <c r="K165" s="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7"/>
      <c r="B166" s="8"/>
      <c r="C166" s="8"/>
      <c r="D166" s="8"/>
      <c r="E166" s="8"/>
      <c r="F166" s="8"/>
      <c r="G166" s="8"/>
      <c r="H166" s="8"/>
      <c r="I166" s="9"/>
      <c r="J166" s="9"/>
      <c r="K166" s="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7"/>
      <c r="B167" s="8"/>
      <c r="C167" s="8"/>
      <c r="D167" s="8"/>
      <c r="E167" s="8"/>
      <c r="F167" s="8"/>
      <c r="G167" s="8"/>
      <c r="H167" s="8"/>
      <c r="I167" s="9"/>
      <c r="J167" s="9"/>
      <c r="K167" s="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7"/>
      <c r="B168" s="8"/>
      <c r="C168" s="8"/>
      <c r="D168" s="8"/>
      <c r="E168" s="8"/>
      <c r="F168" s="8"/>
      <c r="G168" s="8"/>
      <c r="H168" s="8"/>
      <c r="I168" s="9"/>
      <c r="J168" s="9"/>
      <c r="K168" s="10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70" ht="14.25" customHeight="1">
      <c r="A170" s="7"/>
      <c r="B170" s="8"/>
      <c r="C170" s="8"/>
      <c r="D170" s="8"/>
      <c r="E170" s="8"/>
      <c r="F170" s="8"/>
      <c r="G170" s="8"/>
      <c r="H170" s="8"/>
      <c r="I170" s="9"/>
      <c r="J170" s="9"/>
      <c r="K170" s="1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11"/>
      <c r="B171" s="12"/>
      <c r="C171" s="12"/>
      <c r="D171" s="12"/>
      <c r="E171" s="12"/>
      <c r="F171" s="12"/>
      <c r="G171" s="12"/>
      <c r="H171" s="12"/>
      <c r="I171" s="14"/>
      <c r="J171" s="14"/>
      <c r="K171" s="10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7"/>
      <c r="B172" s="8"/>
      <c r="C172" s="8"/>
      <c r="D172" s="8"/>
      <c r="E172" s="8"/>
      <c r="F172" s="8"/>
      <c r="G172" s="8"/>
      <c r="H172" s="8"/>
      <c r="I172" s="9"/>
      <c r="J172" s="9"/>
      <c r="K172" s="10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7"/>
      <c r="B173" s="8"/>
      <c r="C173" s="8"/>
      <c r="D173" s="8"/>
      <c r="E173" s="8"/>
      <c r="F173" s="8"/>
      <c r="G173" s="8"/>
      <c r="H173" s="8"/>
      <c r="I173" s="9"/>
      <c r="J173" s="9"/>
      <c r="K173" s="10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7"/>
      <c r="B174" s="8"/>
      <c r="C174" s="8"/>
      <c r="D174" s="8"/>
      <c r="E174" s="8"/>
      <c r="F174" s="8"/>
      <c r="G174" s="8"/>
      <c r="H174" s="8"/>
      <c r="I174" s="9"/>
      <c r="J174" s="9"/>
      <c r="K174" s="1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7"/>
      <c r="B175" s="8"/>
      <c r="C175" s="8"/>
      <c r="D175" s="8"/>
      <c r="E175" s="8"/>
      <c r="F175" s="8"/>
      <c r="G175" s="8"/>
      <c r="H175" s="8"/>
      <c r="I175" s="9"/>
      <c r="J175" s="9"/>
      <c r="K175" s="1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7"/>
      <c r="B176" s="8"/>
      <c r="C176" s="8"/>
      <c r="D176" s="8"/>
      <c r="E176" s="8"/>
      <c r="F176" s="8"/>
      <c r="G176" s="8"/>
      <c r="H176" s="8"/>
      <c r="I176" s="9"/>
      <c r="J176" s="9"/>
      <c r="K176" s="10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7"/>
      <c r="B177" s="8"/>
      <c r="C177" s="8"/>
      <c r="D177" s="8"/>
      <c r="E177" s="8"/>
      <c r="F177" s="8"/>
      <c r="G177" s="8"/>
      <c r="H177" s="8"/>
      <c r="I177" s="9"/>
      <c r="J177" s="9"/>
      <c r="K177" s="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7.25" customHeight="1">
      <c r="A178" s="7"/>
      <c r="B178" s="8"/>
      <c r="C178" s="8"/>
      <c r="D178" s="8"/>
      <c r="E178" s="8"/>
      <c r="F178" s="8"/>
      <c r="G178" s="8"/>
      <c r="H178" s="8"/>
      <c r="I178" s="9"/>
      <c r="J178" s="9"/>
      <c r="K178" s="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7"/>
      <c r="B179" s="8"/>
      <c r="C179" s="8"/>
      <c r="D179" s="8"/>
      <c r="E179" s="8"/>
      <c r="F179" s="8"/>
      <c r="G179" s="8"/>
      <c r="H179" s="8"/>
      <c r="I179" s="9"/>
      <c r="J179" s="9"/>
      <c r="K179" s="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7"/>
      <c r="B180" s="8"/>
      <c r="C180" s="8"/>
      <c r="D180" s="8"/>
      <c r="E180" s="8"/>
      <c r="F180" s="8"/>
      <c r="G180" s="8"/>
      <c r="H180" s="8"/>
      <c r="I180" s="9"/>
      <c r="J180" s="9"/>
      <c r="K180" s="10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11"/>
      <c r="B181" s="12"/>
      <c r="C181" s="12"/>
      <c r="D181" s="12"/>
      <c r="E181" s="12"/>
      <c r="F181" s="12"/>
      <c r="G181" s="12"/>
      <c r="H181" s="12"/>
      <c r="I181" s="14"/>
      <c r="J181" s="14"/>
      <c r="K181" s="10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7"/>
      <c r="B182" s="8"/>
      <c r="C182" s="8"/>
      <c r="D182" s="8"/>
      <c r="E182" s="8"/>
      <c r="F182" s="8"/>
      <c r="G182" s="8"/>
      <c r="H182" s="8"/>
      <c r="I182" s="9"/>
      <c r="J182" s="9"/>
      <c r="K182" s="1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7"/>
      <c r="B183" s="8"/>
      <c r="C183" s="8"/>
      <c r="D183" s="8"/>
      <c r="E183" s="8"/>
      <c r="F183" s="8"/>
      <c r="G183" s="8"/>
      <c r="H183" s="8"/>
      <c r="I183" s="9"/>
      <c r="J183" s="9"/>
      <c r="K183" s="1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7"/>
      <c r="B184" s="8"/>
      <c r="C184" s="8"/>
      <c r="D184" s="8"/>
      <c r="E184" s="8"/>
      <c r="F184" s="8"/>
      <c r="G184" s="8"/>
      <c r="H184" s="8"/>
      <c r="I184" s="9"/>
      <c r="J184" s="9"/>
      <c r="K184" s="10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0.25" customHeight="1">
      <c r="A185" s="7"/>
      <c r="B185" s="8"/>
      <c r="C185" s="8"/>
      <c r="D185" s="8"/>
      <c r="E185" s="8"/>
      <c r="F185" s="8"/>
      <c r="G185" s="8"/>
      <c r="H185" s="8"/>
      <c r="I185" s="9"/>
      <c r="J185" s="9"/>
      <c r="K185" s="10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7"/>
      <c r="B186" s="8"/>
      <c r="C186" s="8"/>
      <c r="D186" s="8"/>
      <c r="E186" s="8"/>
      <c r="F186" s="8"/>
      <c r="G186" s="8"/>
      <c r="H186" s="8"/>
      <c r="I186" s="9"/>
      <c r="J186" s="9"/>
      <c r="K186" s="10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7"/>
      <c r="B187" s="8"/>
      <c r="C187" s="8"/>
      <c r="D187" s="8"/>
      <c r="E187" s="8"/>
      <c r="F187" s="8"/>
      <c r="G187" s="8"/>
      <c r="H187" s="8"/>
      <c r="I187" s="9"/>
      <c r="J187" s="9"/>
      <c r="K187" s="10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7"/>
      <c r="B188" s="8"/>
      <c r="C188" s="8"/>
      <c r="D188" s="8"/>
      <c r="E188" s="8"/>
      <c r="F188" s="8"/>
      <c r="G188" s="8"/>
      <c r="H188" s="8"/>
      <c r="I188" s="9"/>
      <c r="J188" s="9"/>
      <c r="K188" s="10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7"/>
      <c r="B189" s="8"/>
      <c r="C189" s="8"/>
      <c r="D189" s="8"/>
      <c r="E189" s="8"/>
      <c r="F189" s="8"/>
      <c r="G189" s="8"/>
      <c r="H189" s="8"/>
      <c r="I189" s="9"/>
      <c r="J189" s="9"/>
      <c r="K189" s="10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11"/>
      <c r="B190" s="12"/>
      <c r="C190" s="12"/>
      <c r="D190" s="12"/>
      <c r="E190" s="12"/>
      <c r="F190" s="12"/>
      <c r="G190" s="12"/>
      <c r="H190" s="12"/>
      <c r="I190" s="14"/>
      <c r="J190" s="14"/>
      <c r="K190" s="1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7"/>
      <c r="B191" s="8"/>
      <c r="C191" s="8"/>
      <c r="D191" s="8"/>
      <c r="E191" s="8"/>
      <c r="F191" s="8"/>
      <c r="G191" s="8"/>
      <c r="H191" s="8"/>
      <c r="I191" s="9"/>
      <c r="J191" s="9"/>
      <c r="K191" s="1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7"/>
      <c r="B192" s="8"/>
      <c r="C192" s="8"/>
      <c r="D192" s="8"/>
      <c r="E192" s="8"/>
      <c r="F192" s="8"/>
      <c r="G192" s="8"/>
      <c r="H192" s="8"/>
      <c r="I192" s="9"/>
      <c r="J192" s="9"/>
      <c r="K192" s="1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7"/>
      <c r="B193" s="8"/>
      <c r="C193" s="8"/>
      <c r="D193" s="8"/>
      <c r="E193" s="8"/>
      <c r="F193" s="8"/>
      <c r="G193" s="8"/>
      <c r="H193" s="8"/>
      <c r="I193" s="9"/>
      <c r="J193" s="9"/>
      <c r="K193" s="1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7"/>
      <c r="B194" s="8"/>
      <c r="C194" s="8"/>
      <c r="D194" s="8"/>
      <c r="E194" s="8"/>
      <c r="F194" s="8"/>
      <c r="G194" s="8"/>
      <c r="H194" s="8"/>
      <c r="I194" s="9"/>
      <c r="J194" s="9"/>
      <c r="K194" s="1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7"/>
      <c r="B195" s="8"/>
      <c r="C195" s="8"/>
      <c r="D195" s="8"/>
      <c r="E195" s="8"/>
      <c r="F195" s="8"/>
      <c r="G195" s="8"/>
      <c r="H195" s="8"/>
      <c r="I195" s="9"/>
      <c r="J195" s="9"/>
      <c r="K195" s="1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7"/>
      <c r="B196" s="8"/>
      <c r="C196" s="8"/>
      <c r="D196" s="8"/>
      <c r="E196" s="8"/>
      <c r="F196" s="8"/>
      <c r="G196" s="8"/>
      <c r="H196" s="8"/>
      <c r="I196" s="9"/>
      <c r="J196" s="9"/>
      <c r="K196" s="1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7"/>
      <c r="B197" s="8"/>
      <c r="C197" s="8"/>
      <c r="D197" s="8"/>
      <c r="E197" s="8"/>
      <c r="F197" s="8"/>
      <c r="G197" s="8"/>
      <c r="H197" s="8"/>
      <c r="I197" s="9"/>
      <c r="J197" s="9"/>
      <c r="K197" s="1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7"/>
      <c r="B198" s="8"/>
      <c r="C198" s="8"/>
      <c r="D198" s="8"/>
      <c r="E198" s="8"/>
      <c r="F198" s="8"/>
      <c r="G198" s="8"/>
      <c r="H198" s="8"/>
      <c r="I198" s="9"/>
      <c r="J198" s="9"/>
      <c r="K198" s="1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7"/>
      <c r="B199" s="8"/>
      <c r="C199" s="8"/>
      <c r="D199" s="8"/>
      <c r="E199" s="8"/>
      <c r="F199" s="8"/>
      <c r="G199" s="8"/>
      <c r="H199" s="8"/>
      <c r="I199" s="9"/>
      <c r="J199" s="9"/>
      <c r="K199" s="1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7"/>
      <c r="B200" s="8"/>
      <c r="C200" s="8"/>
      <c r="D200" s="8"/>
      <c r="E200" s="8"/>
      <c r="F200" s="8"/>
      <c r="G200" s="8"/>
      <c r="H200" s="8"/>
      <c r="I200" s="9"/>
      <c r="J200" s="9"/>
      <c r="K200" s="1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7"/>
      <c r="B201" s="8"/>
      <c r="C201" s="8"/>
      <c r="D201" s="8"/>
      <c r="E201" s="8"/>
      <c r="F201" s="8"/>
      <c r="G201" s="8"/>
      <c r="H201" s="8"/>
      <c r="I201" s="9"/>
      <c r="J201" s="9"/>
      <c r="K201" s="1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7"/>
      <c r="B202" s="8"/>
      <c r="C202" s="8"/>
      <c r="D202" s="8"/>
      <c r="E202" s="8"/>
      <c r="F202" s="8"/>
      <c r="G202" s="8"/>
      <c r="H202" s="8"/>
      <c r="I202" s="9"/>
      <c r="J202" s="9"/>
      <c r="K202" s="1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7"/>
      <c r="B203" s="8"/>
      <c r="C203" s="8"/>
      <c r="D203" s="8"/>
      <c r="E203" s="8"/>
      <c r="F203" s="8"/>
      <c r="G203" s="8"/>
      <c r="H203" s="8"/>
      <c r="I203" s="9"/>
      <c r="J203" s="9"/>
      <c r="K203" s="1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7"/>
      <c r="B204" s="8"/>
      <c r="C204" s="8"/>
      <c r="D204" s="8"/>
      <c r="E204" s="8"/>
      <c r="F204" s="8"/>
      <c r="G204" s="8"/>
      <c r="H204" s="8"/>
      <c r="I204" s="9"/>
      <c r="J204" s="9"/>
      <c r="K204" s="1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7"/>
      <c r="B205" s="8"/>
      <c r="C205" s="8"/>
      <c r="D205" s="8"/>
      <c r="E205" s="8"/>
      <c r="F205" s="8"/>
      <c r="G205" s="8"/>
      <c r="H205" s="8"/>
      <c r="I205" s="9"/>
      <c r="J205" s="9"/>
      <c r="K205" s="1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7"/>
      <c r="B206" s="8"/>
      <c r="C206" s="8"/>
      <c r="D206" s="8"/>
      <c r="E206" s="8"/>
      <c r="F206" s="8"/>
      <c r="G206" s="8"/>
      <c r="H206" s="8"/>
      <c r="I206" s="9"/>
      <c r="J206" s="9"/>
      <c r="K206" s="1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7"/>
      <c r="B207" s="8"/>
      <c r="C207" s="8"/>
      <c r="D207" s="8"/>
      <c r="E207" s="8"/>
      <c r="F207" s="8"/>
      <c r="G207" s="8"/>
      <c r="H207" s="8"/>
      <c r="I207" s="9"/>
      <c r="J207" s="9"/>
      <c r="K207" s="1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7"/>
      <c r="B208" s="8"/>
      <c r="C208" s="8"/>
      <c r="D208" s="8"/>
      <c r="E208" s="8"/>
      <c r="F208" s="8"/>
      <c r="G208" s="8"/>
      <c r="H208" s="8"/>
      <c r="I208" s="9"/>
      <c r="J208" s="9"/>
      <c r="K208" s="1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7"/>
      <c r="B209" s="8"/>
      <c r="C209" s="8"/>
      <c r="D209" s="8"/>
      <c r="E209" s="8"/>
      <c r="F209" s="8"/>
      <c r="G209" s="8"/>
      <c r="H209" s="8"/>
      <c r="I209" s="9"/>
      <c r="J209" s="9"/>
      <c r="K209" s="10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7"/>
      <c r="B210" s="8"/>
      <c r="C210" s="8"/>
      <c r="D210" s="8"/>
      <c r="E210" s="8"/>
      <c r="F210" s="8"/>
      <c r="G210" s="8"/>
      <c r="H210" s="8"/>
      <c r="I210" s="9"/>
      <c r="J210" s="9"/>
      <c r="K210" s="10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7"/>
      <c r="B211" s="8"/>
      <c r="C211" s="8"/>
      <c r="D211" s="8"/>
      <c r="E211" s="8"/>
      <c r="F211" s="8"/>
      <c r="G211" s="8"/>
      <c r="H211" s="8"/>
      <c r="I211" s="9"/>
      <c r="J211" s="9"/>
      <c r="K211" s="10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7"/>
      <c r="B212" s="8"/>
      <c r="C212" s="8"/>
      <c r="D212" s="8"/>
      <c r="E212" s="8"/>
      <c r="F212" s="8"/>
      <c r="G212" s="8"/>
      <c r="H212" s="8"/>
      <c r="I212" s="9"/>
      <c r="J212" s="9"/>
      <c r="K212" s="10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7"/>
      <c r="B213" s="8"/>
      <c r="C213" s="8"/>
      <c r="D213" s="8"/>
      <c r="E213" s="8"/>
      <c r="F213" s="8"/>
      <c r="G213" s="8"/>
      <c r="H213" s="8"/>
      <c r="I213" s="9"/>
      <c r="J213" s="9"/>
      <c r="K213" s="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7"/>
      <c r="B214" s="8"/>
      <c r="C214" s="8"/>
      <c r="D214" s="8"/>
      <c r="E214" s="8"/>
      <c r="F214" s="8"/>
      <c r="G214" s="8"/>
      <c r="H214" s="8"/>
      <c r="I214" s="9"/>
      <c r="J214" s="9"/>
      <c r="K214" s="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7"/>
      <c r="B215" s="8"/>
      <c r="C215" s="8"/>
      <c r="D215" s="8"/>
      <c r="E215" s="8"/>
      <c r="F215" s="8"/>
      <c r="G215" s="8"/>
      <c r="H215" s="8"/>
      <c r="I215" s="9"/>
      <c r="J215" s="9"/>
      <c r="K215" s="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7"/>
      <c r="B216" s="8"/>
      <c r="C216" s="8"/>
      <c r="D216" s="8"/>
      <c r="E216" s="8"/>
      <c r="F216" s="8"/>
      <c r="G216" s="8"/>
      <c r="H216" s="8"/>
      <c r="I216" s="9"/>
      <c r="J216" s="9"/>
      <c r="K216" s="10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7"/>
      <c r="B217" s="8"/>
      <c r="C217" s="8"/>
      <c r="D217" s="8"/>
      <c r="E217" s="8"/>
      <c r="F217" s="8"/>
      <c r="G217" s="8"/>
      <c r="H217" s="8"/>
      <c r="I217" s="9"/>
      <c r="J217" s="9"/>
      <c r="K217" s="10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7"/>
      <c r="B218" s="8"/>
      <c r="C218" s="8"/>
      <c r="D218" s="8"/>
      <c r="E218" s="8"/>
      <c r="F218" s="8"/>
      <c r="G218" s="8"/>
      <c r="H218" s="8"/>
      <c r="I218" s="9"/>
      <c r="J218" s="9"/>
      <c r="K218" s="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7"/>
      <c r="B219" s="8"/>
      <c r="C219" s="8"/>
      <c r="D219" s="8"/>
      <c r="E219" s="8"/>
      <c r="F219" s="8"/>
      <c r="G219" s="8"/>
      <c r="H219" s="8"/>
      <c r="I219" s="9"/>
      <c r="J219" s="9"/>
      <c r="K219" s="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7"/>
      <c r="B220" s="8"/>
      <c r="C220" s="8"/>
      <c r="D220" s="8"/>
      <c r="E220" s="8"/>
      <c r="F220" s="8"/>
      <c r="G220" s="8"/>
      <c r="H220" s="8"/>
      <c r="I220" s="9"/>
      <c r="J220" s="9"/>
      <c r="K220" s="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7"/>
      <c r="B221" s="8"/>
      <c r="C221" s="8"/>
      <c r="D221" s="8"/>
      <c r="E221" s="8"/>
      <c r="F221" s="8"/>
      <c r="G221" s="8"/>
      <c r="H221" s="8"/>
      <c r="I221" s="9"/>
      <c r="J221" s="9"/>
      <c r="K221" s="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7"/>
      <c r="B222" s="8"/>
      <c r="C222" s="8"/>
      <c r="D222" s="8"/>
      <c r="E222" s="8"/>
      <c r="F222" s="8"/>
      <c r="G222" s="8"/>
      <c r="H222" s="8"/>
      <c r="I222" s="9"/>
      <c r="J222" s="9"/>
      <c r="K222" s="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7"/>
      <c r="B223" s="8"/>
      <c r="C223" s="8"/>
      <c r="D223" s="8"/>
      <c r="E223" s="8"/>
      <c r="F223" s="8"/>
      <c r="G223" s="8"/>
      <c r="H223" s="8"/>
      <c r="I223" s="9"/>
      <c r="J223" s="9"/>
      <c r="K223" s="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7"/>
      <c r="B224" s="8"/>
      <c r="C224" s="8"/>
      <c r="D224" s="8"/>
      <c r="E224" s="8"/>
      <c r="F224" s="8"/>
      <c r="G224" s="8"/>
      <c r="H224" s="8"/>
      <c r="I224" s="9"/>
      <c r="J224" s="9"/>
      <c r="K224" s="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7"/>
      <c r="B225" s="8"/>
      <c r="C225" s="8"/>
      <c r="D225" s="8"/>
      <c r="E225" s="8"/>
      <c r="F225" s="8"/>
      <c r="G225" s="8"/>
      <c r="H225" s="8"/>
      <c r="I225" s="9"/>
      <c r="J225" s="9"/>
      <c r="K225" s="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7"/>
      <c r="B226" s="8"/>
      <c r="C226" s="8"/>
      <c r="D226" s="8"/>
      <c r="E226" s="8"/>
      <c r="F226" s="8"/>
      <c r="G226" s="8"/>
      <c r="H226" s="8"/>
      <c r="I226" s="9"/>
      <c r="J226" s="9"/>
      <c r="K226" s="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7"/>
      <c r="B227" s="8"/>
      <c r="C227" s="8"/>
      <c r="D227" s="8"/>
      <c r="E227" s="8"/>
      <c r="F227" s="8"/>
      <c r="G227" s="8"/>
      <c r="H227" s="8"/>
      <c r="I227" s="9"/>
      <c r="J227" s="9"/>
      <c r="K227" s="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7"/>
      <c r="B228" s="8"/>
      <c r="C228" s="8"/>
      <c r="D228" s="8"/>
      <c r="E228" s="8"/>
      <c r="F228" s="8"/>
      <c r="G228" s="8"/>
      <c r="H228" s="8"/>
      <c r="I228" s="9"/>
      <c r="J228" s="9"/>
      <c r="K228" s="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7"/>
      <c r="B229" s="8"/>
      <c r="C229" s="8"/>
      <c r="D229" s="8"/>
      <c r="E229" s="8"/>
      <c r="F229" s="8"/>
      <c r="G229" s="8"/>
      <c r="H229" s="8"/>
      <c r="I229" s="9"/>
      <c r="J229" s="9"/>
      <c r="K229" s="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7"/>
      <c r="B230" s="8"/>
      <c r="C230" s="8"/>
      <c r="D230" s="8"/>
      <c r="E230" s="8"/>
      <c r="F230" s="8"/>
      <c r="G230" s="8"/>
      <c r="H230" s="8"/>
      <c r="I230" s="9"/>
      <c r="J230" s="9"/>
      <c r="K230" s="10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7"/>
      <c r="B231" s="8"/>
      <c r="C231" s="8"/>
      <c r="D231" s="8"/>
      <c r="E231" s="8"/>
      <c r="F231" s="8"/>
      <c r="G231" s="8"/>
      <c r="H231" s="8"/>
      <c r="I231" s="9"/>
      <c r="J231" s="9"/>
      <c r="K231" s="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7"/>
      <c r="B232" s="8"/>
      <c r="C232" s="8"/>
      <c r="D232" s="8"/>
      <c r="E232" s="8"/>
      <c r="F232" s="8"/>
      <c r="G232" s="8"/>
      <c r="H232" s="8"/>
      <c r="I232" s="9"/>
      <c r="J232" s="9"/>
      <c r="K232" s="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7"/>
      <c r="B233" s="8"/>
      <c r="C233" s="8"/>
      <c r="D233" s="8"/>
      <c r="E233" s="8"/>
      <c r="F233" s="8"/>
      <c r="G233" s="8"/>
      <c r="H233" s="8"/>
      <c r="I233" s="9"/>
      <c r="J233" s="9"/>
      <c r="K233" s="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7"/>
      <c r="B234" s="8"/>
      <c r="C234" s="8"/>
      <c r="D234" s="8"/>
      <c r="E234" s="8"/>
      <c r="F234" s="8"/>
      <c r="G234" s="8"/>
      <c r="H234" s="8"/>
      <c r="I234" s="9"/>
      <c r="J234" s="9"/>
      <c r="K234" s="10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7"/>
      <c r="B235" s="8"/>
      <c r="C235" s="8"/>
      <c r="D235" s="8"/>
      <c r="E235" s="8"/>
      <c r="F235" s="8"/>
      <c r="G235" s="8"/>
      <c r="H235" s="8"/>
      <c r="I235" s="9"/>
      <c r="J235" s="9"/>
      <c r="K235" s="10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7"/>
      <c r="B236" s="8"/>
      <c r="C236" s="8"/>
      <c r="D236" s="8"/>
      <c r="E236" s="8"/>
      <c r="F236" s="8"/>
      <c r="G236" s="8"/>
      <c r="H236" s="8"/>
      <c r="I236" s="9"/>
      <c r="J236" s="9"/>
      <c r="K236" s="10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7"/>
      <c r="B237" s="8"/>
      <c r="C237" s="8"/>
      <c r="D237" s="8"/>
      <c r="E237" s="8"/>
      <c r="F237" s="8"/>
      <c r="G237" s="8"/>
      <c r="H237" s="8"/>
      <c r="I237" s="9"/>
      <c r="J237" s="9"/>
      <c r="K237" s="10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7"/>
      <c r="B238" s="8"/>
      <c r="C238" s="8"/>
      <c r="D238" s="8"/>
      <c r="E238" s="8"/>
      <c r="F238" s="8"/>
      <c r="G238" s="8"/>
      <c r="H238" s="8"/>
      <c r="I238" s="9"/>
      <c r="J238" s="9"/>
      <c r="K238" s="10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7"/>
      <c r="B239" s="8"/>
      <c r="C239" s="8"/>
      <c r="D239" s="8"/>
      <c r="E239" s="8"/>
      <c r="F239" s="8"/>
      <c r="G239" s="8"/>
      <c r="H239" s="8"/>
      <c r="I239" s="9"/>
      <c r="J239" s="9"/>
      <c r="K239" s="10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7"/>
      <c r="B240" s="8"/>
      <c r="C240" s="8"/>
      <c r="D240" s="8"/>
      <c r="E240" s="8"/>
      <c r="F240" s="8"/>
      <c r="G240" s="8"/>
      <c r="H240" s="8"/>
      <c r="I240" s="9"/>
      <c r="J240" s="9"/>
      <c r="K240" s="10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7"/>
      <c r="B241" s="8"/>
      <c r="C241" s="8"/>
      <c r="D241" s="8"/>
      <c r="E241" s="8"/>
      <c r="F241" s="8"/>
      <c r="G241" s="8"/>
      <c r="H241" s="8"/>
      <c r="I241" s="9"/>
      <c r="J241" s="9"/>
      <c r="K241" s="10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7"/>
      <c r="B242" s="8"/>
      <c r="C242" s="8"/>
      <c r="D242" s="8"/>
      <c r="E242" s="8"/>
      <c r="F242" s="8"/>
      <c r="G242" s="8"/>
      <c r="H242" s="8"/>
      <c r="I242" s="9"/>
      <c r="J242" s="9"/>
      <c r="K242" s="10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7"/>
      <c r="B243" s="8"/>
      <c r="C243" s="8"/>
      <c r="D243" s="8"/>
      <c r="E243" s="8"/>
      <c r="F243" s="8"/>
      <c r="G243" s="8"/>
      <c r="H243" s="8"/>
      <c r="I243" s="9"/>
      <c r="J243" s="9"/>
      <c r="K243" s="10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7"/>
      <c r="B244" s="8"/>
      <c r="C244" s="8"/>
      <c r="D244" s="8"/>
      <c r="E244" s="8"/>
      <c r="F244" s="8"/>
      <c r="G244" s="8"/>
      <c r="H244" s="8"/>
      <c r="I244" s="9"/>
      <c r="J244" s="9"/>
      <c r="K244" s="10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7"/>
      <c r="B245" s="8"/>
      <c r="C245" s="8"/>
      <c r="D245" s="8"/>
      <c r="E245" s="8"/>
      <c r="F245" s="8"/>
      <c r="G245" s="8"/>
      <c r="H245" s="8"/>
      <c r="I245" s="9"/>
      <c r="J245" s="9"/>
      <c r="K245" s="10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7"/>
      <c r="B246" s="8"/>
      <c r="C246" s="8"/>
      <c r="D246" s="8"/>
      <c r="E246" s="8"/>
      <c r="F246" s="8"/>
      <c r="G246" s="8"/>
      <c r="H246" s="8"/>
      <c r="I246" s="9"/>
      <c r="J246" s="9"/>
      <c r="K246" s="10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7"/>
      <c r="B247" s="8"/>
      <c r="C247" s="8"/>
      <c r="D247" s="8"/>
      <c r="E247" s="8"/>
      <c r="F247" s="8"/>
      <c r="G247" s="8"/>
      <c r="H247" s="8"/>
      <c r="I247" s="9"/>
      <c r="J247" s="9"/>
      <c r="K247" s="10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7"/>
      <c r="B248" s="8"/>
      <c r="C248" s="8"/>
      <c r="D248" s="8"/>
      <c r="E248" s="8"/>
      <c r="F248" s="8"/>
      <c r="G248" s="8"/>
      <c r="H248" s="8"/>
      <c r="I248" s="9"/>
      <c r="J248" s="9"/>
      <c r="K248" s="10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7"/>
      <c r="B249" s="8"/>
      <c r="C249" s="8"/>
      <c r="D249" s="8"/>
      <c r="E249" s="8"/>
      <c r="F249" s="8"/>
      <c r="G249" s="8"/>
      <c r="H249" s="8"/>
      <c r="I249" s="9"/>
      <c r="J249" s="9"/>
      <c r="K249" s="10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7"/>
      <c r="B250" s="8"/>
      <c r="C250" s="8"/>
      <c r="D250" s="8"/>
      <c r="E250" s="8"/>
      <c r="F250" s="8"/>
      <c r="G250" s="8"/>
      <c r="H250" s="8"/>
      <c r="I250" s="9"/>
      <c r="J250" s="9"/>
      <c r="K250" s="10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7"/>
      <c r="B251" s="8"/>
      <c r="C251" s="8"/>
      <c r="D251" s="8"/>
      <c r="E251" s="8"/>
      <c r="F251" s="8"/>
      <c r="G251" s="8"/>
      <c r="H251" s="8"/>
      <c r="I251" s="9"/>
      <c r="J251" s="9"/>
      <c r="K251" s="10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7"/>
      <c r="B252" s="8"/>
      <c r="C252" s="8"/>
      <c r="D252" s="8"/>
      <c r="E252" s="8"/>
      <c r="F252" s="8"/>
      <c r="G252" s="8"/>
      <c r="H252" s="8"/>
      <c r="I252" s="9"/>
      <c r="J252" s="9"/>
      <c r="K252" s="10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7"/>
      <c r="B253" s="8"/>
      <c r="C253" s="8"/>
      <c r="D253" s="8"/>
      <c r="E253" s="8"/>
      <c r="F253" s="8"/>
      <c r="G253" s="8"/>
      <c r="H253" s="8"/>
      <c r="I253" s="9"/>
      <c r="J253" s="9"/>
      <c r="K253" s="10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7"/>
      <c r="B254" s="8"/>
      <c r="C254" s="8"/>
      <c r="D254" s="8"/>
      <c r="E254" s="8"/>
      <c r="F254" s="8"/>
      <c r="G254" s="8"/>
      <c r="H254" s="8"/>
      <c r="I254" s="9"/>
      <c r="J254" s="9"/>
      <c r="K254" s="1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7"/>
      <c r="B255" s="8"/>
      <c r="C255" s="8"/>
      <c r="D255" s="8"/>
      <c r="E255" s="8"/>
      <c r="F255" s="8"/>
      <c r="G255" s="8"/>
      <c r="H255" s="8"/>
      <c r="I255" s="9"/>
      <c r="J255" s="9"/>
      <c r="K255" s="1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7"/>
      <c r="B256" s="8"/>
      <c r="C256" s="8"/>
      <c r="D256" s="8"/>
      <c r="E256" s="8"/>
      <c r="F256" s="8"/>
      <c r="G256" s="8"/>
      <c r="H256" s="8"/>
      <c r="I256" s="9"/>
      <c r="J256" s="9"/>
      <c r="K256" s="1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7"/>
      <c r="B257" s="8"/>
      <c r="C257" s="8"/>
      <c r="D257" s="8"/>
      <c r="E257" s="8"/>
      <c r="F257" s="8"/>
      <c r="G257" s="8"/>
      <c r="H257" s="8"/>
      <c r="I257" s="9"/>
      <c r="J257" s="9"/>
      <c r="K257" s="1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7"/>
      <c r="B258" s="8"/>
      <c r="C258" s="8"/>
      <c r="D258" s="8"/>
      <c r="E258" s="8"/>
      <c r="F258" s="8"/>
      <c r="G258" s="8"/>
      <c r="H258" s="8"/>
      <c r="I258" s="9"/>
      <c r="J258" s="9"/>
      <c r="K258" s="10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7"/>
      <c r="B259" s="8"/>
      <c r="C259" s="8"/>
      <c r="D259" s="8"/>
      <c r="E259" s="8"/>
      <c r="F259" s="8"/>
      <c r="G259" s="8"/>
      <c r="H259" s="8"/>
      <c r="I259" s="9"/>
      <c r="J259" s="9"/>
      <c r="K259" s="10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7"/>
      <c r="B260" s="8"/>
      <c r="C260" s="8"/>
      <c r="D260" s="8"/>
      <c r="E260" s="8"/>
      <c r="F260" s="8"/>
      <c r="G260" s="8"/>
      <c r="H260" s="8"/>
      <c r="I260" s="9"/>
      <c r="J260" s="9"/>
      <c r="K260" s="10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7"/>
      <c r="B261" s="8"/>
      <c r="C261" s="8"/>
      <c r="D261" s="8"/>
      <c r="E261" s="8"/>
      <c r="F261" s="8"/>
      <c r="G261" s="8"/>
      <c r="H261" s="8"/>
      <c r="I261" s="9"/>
      <c r="J261" s="9"/>
      <c r="K261" s="1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7"/>
      <c r="B262" s="8"/>
      <c r="C262" s="8"/>
      <c r="D262" s="8"/>
      <c r="E262" s="8"/>
      <c r="F262" s="8"/>
      <c r="G262" s="8"/>
      <c r="H262" s="8"/>
      <c r="I262" s="9"/>
      <c r="J262" s="9"/>
      <c r="K262" s="10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7"/>
      <c r="B263" s="8"/>
      <c r="C263" s="8"/>
      <c r="D263" s="8"/>
      <c r="E263" s="8"/>
      <c r="F263" s="8"/>
      <c r="G263" s="8"/>
      <c r="H263" s="8"/>
      <c r="I263" s="9"/>
      <c r="J263" s="9"/>
      <c r="K263" s="10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7"/>
      <c r="B264" s="8"/>
      <c r="C264" s="8"/>
      <c r="D264" s="8"/>
      <c r="E264" s="8"/>
      <c r="F264" s="8"/>
      <c r="G264" s="8"/>
      <c r="H264" s="8"/>
      <c r="I264" s="9"/>
      <c r="J264" s="9"/>
      <c r="K264" s="10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7"/>
      <c r="B265" s="8"/>
      <c r="C265" s="8"/>
      <c r="D265" s="8"/>
      <c r="E265" s="8"/>
      <c r="F265" s="8"/>
      <c r="G265" s="8"/>
      <c r="H265" s="8"/>
      <c r="I265" s="9"/>
      <c r="J265" s="9"/>
      <c r="K265" s="10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7"/>
      <c r="B266" s="8"/>
      <c r="C266" s="8"/>
      <c r="D266" s="8"/>
      <c r="E266" s="8"/>
      <c r="F266" s="8"/>
      <c r="G266" s="8"/>
      <c r="H266" s="8"/>
      <c r="I266" s="9"/>
      <c r="J266" s="9"/>
      <c r="K266" s="10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7"/>
      <c r="B267" s="8"/>
      <c r="C267" s="8"/>
      <c r="D267" s="8"/>
      <c r="E267" s="8"/>
      <c r="F267" s="8"/>
      <c r="G267" s="8"/>
      <c r="H267" s="8"/>
      <c r="I267" s="9"/>
      <c r="J267" s="9"/>
      <c r="K267" s="1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7"/>
      <c r="B268" s="8"/>
      <c r="C268" s="8"/>
      <c r="D268" s="8"/>
      <c r="E268" s="8"/>
      <c r="F268" s="8"/>
      <c r="G268" s="8"/>
      <c r="H268" s="8"/>
      <c r="I268" s="9"/>
      <c r="J268" s="9"/>
      <c r="K268" s="1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7"/>
      <c r="B269" s="8"/>
      <c r="C269" s="8"/>
      <c r="D269" s="8"/>
      <c r="E269" s="8"/>
      <c r="F269" s="8"/>
      <c r="G269" s="8"/>
      <c r="H269" s="8"/>
      <c r="I269" s="9"/>
      <c r="J269" s="9"/>
      <c r="K269" s="10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7"/>
      <c r="B270" s="8"/>
      <c r="C270" s="8"/>
      <c r="D270" s="8"/>
      <c r="E270" s="8"/>
      <c r="F270" s="8"/>
      <c r="G270" s="8"/>
      <c r="H270" s="8"/>
      <c r="I270" s="9"/>
      <c r="J270" s="9"/>
      <c r="K270" s="10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7"/>
      <c r="B271" s="8"/>
      <c r="C271" s="8"/>
      <c r="D271" s="8"/>
      <c r="E271" s="8"/>
      <c r="F271" s="8"/>
      <c r="G271" s="8"/>
      <c r="H271" s="8"/>
      <c r="I271" s="9"/>
      <c r="J271" s="9"/>
      <c r="K271" s="1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7"/>
      <c r="B272" s="8"/>
      <c r="C272" s="8"/>
      <c r="D272" s="8"/>
      <c r="E272" s="8"/>
      <c r="F272" s="8"/>
      <c r="G272" s="8"/>
      <c r="H272" s="8"/>
      <c r="I272" s="9"/>
      <c r="J272" s="9"/>
      <c r="K272" s="1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7"/>
      <c r="B273" s="8"/>
      <c r="C273" s="8"/>
      <c r="D273" s="8"/>
      <c r="E273" s="8"/>
      <c r="F273" s="8"/>
      <c r="G273" s="8"/>
      <c r="H273" s="8"/>
      <c r="I273" s="9"/>
      <c r="J273" s="9"/>
      <c r="K273" s="1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7"/>
      <c r="B274" s="8"/>
      <c r="C274" s="8"/>
      <c r="D274" s="8"/>
      <c r="E274" s="8"/>
      <c r="F274" s="8"/>
      <c r="G274" s="8"/>
      <c r="H274" s="8"/>
      <c r="I274" s="9"/>
      <c r="J274" s="9"/>
      <c r="K274" s="1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7"/>
      <c r="B275" s="8"/>
      <c r="C275" s="8"/>
      <c r="D275" s="8"/>
      <c r="E275" s="8"/>
      <c r="F275" s="8"/>
      <c r="G275" s="8"/>
      <c r="H275" s="8"/>
      <c r="I275" s="9"/>
      <c r="J275" s="9"/>
      <c r="K275" s="1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7"/>
      <c r="B276" s="8"/>
      <c r="C276" s="8"/>
      <c r="D276" s="8"/>
      <c r="E276" s="8"/>
      <c r="F276" s="8"/>
      <c r="G276" s="8"/>
      <c r="H276" s="8"/>
      <c r="I276" s="9"/>
      <c r="J276" s="9"/>
      <c r="K276" s="10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7"/>
      <c r="B277" s="8"/>
      <c r="C277" s="8"/>
      <c r="D277" s="8"/>
      <c r="E277" s="8"/>
      <c r="F277" s="8"/>
      <c r="G277" s="8"/>
      <c r="H277" s="8"/>
      <c r="I277" s="9"/>
      <c r="J277" s="9"/>
      <c r="K277" s="10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7"/>
      <c r="B278" s="8"/>
      <c r="C278" s="8"/>
      <c r="D278" s="8"/>
      <c r="E278" s="8"/>
      <c r="F278" s="8"/>
      <c r="G278" s="8"/>
      <c r="H278" s="8"/>
      <c r="I278" s="9"/>
      <c r="J278" s="9"/>
      <c r="K278" s="1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7"/>
      <c r="B279" s="8"/>
      <c r="C279" s="8"/>
      <c r="D279" s="8"/>
      <c r="E279" s="8"/>
      <c r="F279" s="8"/>
      <c r="G279" s="8"/>
      <c r="H279" s="8"/>
      <c r="I279" s="9"/>
      <c r="J279" s="9"/>
      <c r="K279" s="1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7"/>
      <c r="B280" s="8"/>
      <c r="C280" s="8"/>
      <c r="D280" s="8"/>
      <c r="E280" s="8"/>
      <c r="F280" s="8"/>
      <c r="G280" s="8"/>
      <c r="H280" s="8"/>
      <c r="I280" s="9"/>
      <c r="J280" s="9"/>
      <c r="K280" s="10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7"/>
      <c r="B281" s="8"/>
      <c r="C281" s="8"/>
      <c r="D281" s="8"/>
      <c r="E281" s="8"/>
      <c r="F281" s="8"/>
      <c r="G281" s="8"/>
      <c r="H281" s="8"/>
      <c r="I281" s="9"/>
      <c r="J281" s="9"/>
      <c r="K281" s="10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7"/>
      <c r="B282" s="8"/>
      <c r="C282" s="8"/>
      <c r="D282" s="8"/>
      <c r="E282" s="8"/>
      <c r="F282" s="8"/>
      <c r="G282" s="8"/>
      <c r="H282" s="8"/>
      <c r="I282" s="9"/>
      <c r="J282" s="9"/>
      <c r="K282" s="1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7"/>
      <c r="B283" s="8"/>
      <c r="C283" s="8"/>
      <c r="D283" s="8"/>
      <c r="E283" s="8"/>
      <c r="F283" s="8"/>
      <c r="G283" s="8"/>
      <c r="H283" s="8"/>
      <c r="I283" s="9"/>
      <c r="J283" s="9"/>
      <c r="K283" s="1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7"/>
      <c r="B284" s="8"/>
      <c r="C284" s="8"/>
      <c r="D284" s="8"/>
      <c r="E284" s="8"/>
      <c r="F284" s="8"/>
      <c r="G284" s="8"/>
      <c r="H284" s="8"/>
      <c r="I284" s="9"/>
      <c r="J284" s="9"/>
      <c r="K284" s="1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7"/>
      <c r="B285" s="8"/>
      <c r="C285" s="8"/>
      <c r="D285" s="8"/>
      <c r="E285" s="8"/>
      <c r="F285" s="8"/>
      <c r="G285" s="8"/>
      <c r="H285" s="8"/>
      <c r="I285" s="9"/>
      <c r="J285" s="9"/>
      <c r="K285" s="1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7"/>
      <c r="B286" s="8"/>
      <c r="C286" s="8"/>
      <c r="D286" s="8"/>
      <c r="E286" s="8"/>
      <c r="F286" s="8"/>
      <c r="G286" s="8"/>
      <c r="H286" s="8"/>
      <c r="I286" s="9"/>
      <c r="J286" s="9"/>
      <c r="K286" s="1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7"/>
      <c r="B287" s="8"/>
      <c r="C287" s="8"/>
      <c r="D287" s="8"/>
      <c r="E287" s="8"/>
      <c r="F287" s="8"/>
      <c r="G287" s="8"/>
      <c r="H287" s="8"/>
      <c r="I287" s="9"/>
      <c r="J287" s="9"/>
      <c r="K287" s="1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7"/>
      <c r="B288" s="8"/>
      <c r="C288" s="8"/>
      <c r="D288" s="8"/>
      <c r="E288" s="8"/>
      <c r="F288" s="8"/>
      <c r="G288" s="8"/>
      <c r="H288" s="8"/>
      <c r="I288" s="9"/>
      <c r="J288" s="9"/>
      <c r="K288" s="1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7"/>
      <c r="B289" s="8"/>
      <c r="C289" s="8"/>
      <c r="D289" s="8"/>
      <c r="E289" s="8"/>
      <c r="F289" s="8"/>
      <c r="G289" s="8"/>
      <c r="H289" s="8"/>
      <c r="I289" s="9"/>
      <c r="J289" s="9"/>
      <c r="K289" s="10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7"/>
      <c r="B290" s="8"/>
      <c r="C290" s="8"/>
      <c r="D290" s="8"/>
      <c r="E290" s="8"/>
      <c r="F290" s="8"/>
      <c r="G290" s="8"/>
      <c r="H290" s="8"/>
      <c r="I290" s="9"/>
      <c r="J290" s="9"/>
      <c r="K290" s="10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7"/>
      <c r="B291" s="8"/>
      <c r="C291" s="8"/>
      <c r="D291" s="8"/>
      <c r="E291" s="8"/>
      <c r="F291" s="8"/>
      <c r="G291" s="8"/>
      <c r="H291" s="8"/>
      <c r="I291" s="9"/>
      <c r="J291" s="9"/>
      <c r="K291" s="10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7"/>
      <c r="B292" s="8"/>
      <c r="C292" s="8"/>
      <c r="D292" s="8"/>
      <c r="E292" s="8"/>
      <c r="F292" s="8"/>
      <c r="G292" s="8"/>
      <c r="H292" s="8"/>
      <c r="I292" s="9"/>
      <c r="J292" s="9"/>
      <c r="K292" s="1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7"/>
      <c r="B293" s="8"/>
      <c r="C293" s="8"/>
      <c r="D293" s="8"/>
      <c r="E293" s="8"/>
      <c r="F293" s="8"/>
      <c r="G293" s="8"/>
      <c r="H293" s="8"/>
      <c r="I293" s="9"/>
      <c r="J293" s="9"/>
      <c r="K293" s="1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7"/>
      <c r="B294" s="8"/>
      <c r="C294" s="8"/>
      <c r="D294" s="8"/>
      <c r="E294" s="8"/>
      <c r="F294" s="8"/>
      <c r="G294" s="8"/>
      <c r="H294" s="8"/>
      <c r="I294" s="9"/>
      <c r="J294" s="9"/>
      <c r="K294" s="10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7"/>
      <c r="B295" s="8"/>
      <c r="C295" s="8"/>
      <c r="D295" s="8"/>
      <c r="E295" s="8"/>
      <c r="F295" s="8"/>
      <c r="G295" s="8"/>
      <c r="H295" s="8"/>
      <c r="I295" s="9"/>
      <c r="J295" s="9"/>
      <c r="K295" s="10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7"/>
      <c r="B296" s="8"/>
      <c r="C296" s="8"/>
      <c r="D296" s="8"/>
      <c r="E296" s="8"/>
      <c r="F296" s="8"/>
      <c r="G296" s="8"/>
      <c r="H296" s="8"/>
      <c r="I296" s="9"/>
      <c r="J296" s="9"/>
      <c r="K296" s="1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7"/>
      <c r="B297" s="8"/>
      <c r="C297" s="8"/>
      <c r="D297" s="8"/>
      <c r="E297" s="8"/>
      <c r="F297" s="8"/>
      <c r="G297" s="8"/>
      <c r="H297" s="8"/>
      <c r="I297" s="9"/>
      <c r="J297" s="9"/>
      <c r="K297" s="1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7"/>
      <c r="B298" s="8"/>
      <c r="C298" s="8"/>
      <c r="D298" s="8"/>
      <c r="E298" s="8"/>
      <c r="F298" s="8"/>
      <c r="G298" s="8"/>
      <c r="H298" s="8"/>
      <c r="I298" s="9"/>
      <c r="J298" s="9"/>
      <c r="K298" s="10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7"/>
      <c r="B299" s="8"/>
      <c r="C299" s="8"/>
      <c r="D299" s="8"/>
      <c r="E299" s="8"/>
      <c r="F299" s="8"/>
      <c r="G299" s="8"/>
      <c r="H299" s="8"/>
      <c r="I299" s="9"/>
      <c r="J299" s="9"/>
      <c r="K299" s="10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7"/>
      <c r="B300" s="8"/>
      <c r="C300" s="8"/>
      <c r="D300" s="8"/>
      <c r="E300" s="8"/>
      <c r="F300" s="8"/>
      <c r="G300" s="8"/>
      <c r="H300" s="8"/>
      <c r="I300" s="9"/>
      <c r="J300" s="9"/>
      <c r="K300" s="1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7"/>
      <c r="B301" s="8"/>
      <c r="C301" s="8"/>
      <c r="D301" s="8"/>
      <c r="E301" s="8"/>
      <c r="F301" s="8"/>
      <c r="G301" s="8"/>
      <c r="H301" s="8"/>
      <c r="I301" s="9"/>
      <c r="J301" s="9"/>
      <c r="K301" s="1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7"/>
      <c r="B302" s="8"/>
      <c r="C302" s="8"/>
      <c r="D302" s="8"/>
      <c r="E302" s="8"/>
      <c r="F302" s="8"/>
      <c r="G302" s="8"/>
      <c r="H302" s="8"/>
      <c r="I302" s="9"/>
      <c r="J302" s="9"/>
      <c r="K302" s="10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7"/>
      <c r="B303" s="8"/>
      <c r="C303" s="8"/>
      <c r="D303" s="8"/>
      <c r="E303" s="8"/>
      <c r="F303" s="8"/>
      <c r="G303" s="8"/>
      <c r="H303" s="8"/>
      <c r="I303" s="9"/>
      <c r="J303" s="9"/>
      <c r="K303" s="10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7"/>
      <c r="B304" s="8"/>
      <c r="C304" s="8"/>
      <c r="D304" s="8"/>
      <c r="E304" s="8"/>
      <c r="F304" s="8"/>
      <c r="G304" s="8"/>
      <c r="H304" s="8"/>
      <c r="I304" s="9"/>
      <c r="J304" s="9"/>
      <c r="K304" s="1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7"/>
      <c r="B305" s="8"/>
      <c r="C305" s="8"/>
      <c r="D305" s="8"/>
      <c r="E305" s="8"/>
      <c r="F305" s="8"/>
      <c r="G305" s="8"/>
      <c r="H305" s="8"/>
      <c r="I305" s="9"/>
      <c r="J305" s="9"/>
      <c r="K305" s="1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7"/>
      <c r="B306" s="8"/>
      <c r="C306" s="8"/>
      <c r="D306" s="8"/>
      <c r="E306" s="8"/>
      <c r="F306" s="8"/>
      <c r="G306" s="8"/>
      <c r="H306" s="8"/>
      <c r="I306" s="9"/>
      <c r="J306" s="9"/>
      <c r="K306" s="10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7"/>
      <c r="B307" s="8"/>
      <c r="C307" s="8"/>
      <c r="D307" s="8"/>
      <c r="E307" s="8"/>
      <c r="F307" s="8"/>
      <c r="G307" s="8"/>
      <c r="H307" s="8"/>
      <c r="I307" s="9"/>
      <c r="J307" s="9"/>
      <c r="K307" s="10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7"/>
      <c r="B308" s="8"/>
      <c r="C308" s="8"/>
      <c r="D308" s="8"/>
      <c r="E308" s="8"/>
      <c r="F308" s="8"/>
      <c r="G308" s="8"/>
      <c r="H308" s="8"/>
      <c r="I308" s="9"/>
      <c r="J308" s="9"/>
      <c r="K308" s="1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7"/>
      <c r="B309" s="8"/>
      <c r="C309" s="8"/>
      <c r="D309" s="8"/>
      <c r="E309" s="8"/>
      <c r="F309" s="8"/>
      <c r="G309" s="8"/>
      <c r="H309" s="8"/>
      <c r="I309" s="9"/>
      <c r="J309" s="9"/>
      <c r="K309" s="1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7"/>
      <c r="B310" s="8"/>
      <c r="C310" s="8"/>
      <c r="D310" s="8"/>
      <c r="E310" s="8"/>
      <c r="F310" s="8"/>
      <c r="G310" s="8"/>
      <c r="H310" s="8"/>
      <c r="I310" s="9"/>
      <c r="J310" s="9"/>
      <c r="K310" s="10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7"/>
      <c r="B311" s="8"/>
      <c r="C311" s="8"/>
      <c r="D311" s="8"/>
      <c r="E311" s="8"/>
      <c r="F311" s="8"/>
      <c r="G311" s="8"/>
      <c r="H311" s="8"/>
      <c r="I311" s="9"/>
      <c r="J311" s="9"/>
      <c r="K311" s="10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7"/>
      <c r="B312" s="8"/>
      <c r="C312" s="8"/>
      <c r="D312" s="8"/>
      <c r="E312" s="8"/>
      <c r="F312" s="8"/>
      <c r="G312" s="8"/>
      <c r="H312" s="8"/>
      <c r="I312" s="9"/>
      <c r="J312" s="9"/>
      <c r="K312" s="10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7"/>
      <c r="B313" s="8"/>
      <c r="C313" s="8"/>
      <c r="D313" s="8"/>
      <c r="E313" s="8"/>
      <c r="F313" s="8"/>
      <c r="G313" s="8"/>
      <c r="H313" s="8"/>
      <c r="I313" s="9"/>
      <c r="J313" s="9"/>
      <c r="K313" s="1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7"/>
      <c r="B314" s="8"/>
      <c r="C314" s="8"/>
      <c r="D314" s="8"/>
      <c r="E314" s="8"/>
      <c r="F314" s="8"/>
      <c r="G314" s="8"/>
      <c r="H314" s="8"/>
      <c r="I314" s="9"/>
      <c r="J314" s="9"/>
      <c r="K314" s="1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7"/>
      <c r="B315" s="8"/>
      <c r="C315" s="8"/>
      <c r="D315" s="8"/>
      <c r="E315" s="8"/>
      <c r="F315" s="8"/>
      <c r="G315" s="8"/>
      <c r="H315" s="8"/>
      <c r="I315" s="9"/>
      <c r="J315" s="9"/>
      <c r="K315" s="1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7"/>
      <c r="B316" s="8"/>
      <c r="C316" s="8"/>
      <c r="D316" s="8"/>
      <c r="E316" s="8"/>
      <c r="F316" s="8"/>
      <c r="G316" s="8"/>
      <c r="H316" s="8"/>
      <c r="I316" s="9"/>
      <c r="J316" s="9"/>
      <c r="K316" s="1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7"/>
      <c r="B317" s="8"/>
      <c r="C317" s="8"/>
      <c r="D317" s="8"/>
      <c r="E317" s="8"/>
      <c r="F317" s="8"/>
      <c r="G317" s="8"/>
      <c r="H317" s="8"/>
      <c r="I317" s="9"/>
      <c r="J317" s="9"/>
      <c r="K317" s="1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7"/>
      <c r="B318" s="8"/>
      <c r="C318" s="8"/>
      <c r="D318" s="8"/>
      <c r="E318" s="8"/>
      <c r="F318" s="8"/>
      <c r="G318" s="8"/>
      <c r="H318" s="8"/>
      <c r="I318" s="9"/>
      <c r="J318" s="9"/>
      <c r="K318" s="1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11"/>
      <c r="B319" s="12"/>
      <c r="C319" s="12"/>
      <c r="D319" s="12"/>
      <c r="E319" s="12"/>
      <c r="F319" s="12"/>
      <c r="G319" s="12"/>
      <c r="H319" s="12"/>
      <c r="I319" s="14"/>
      <c r="J319" s="14"/>
      <c r="K319" s="10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7"/>
      <c r="B320" s="8"/>
      <c r="C320" s="8"/>
      <c r="D320" s="8"/>
      <c r="E320" s="8"/>
      <c r="F320" s="8"/>
      <c r="G320" s="8"/>
      <c r="H320" s="8"/>
      <c r="I320" s="9"/>
      <c r="J320" s="9"/>
      <c r="K320" s="10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7"/>
      <c r="B321" s="8"/>
      <c r="C321" s="8"/>
      <c r="D321" s="8"/>
      <c r="E321" s="8"/>
      <c r="F321" s="8"/>
      <c r="G321" s="8"/>
      <c r="H321" s="8"/>
      <c r="I321" s="9"/>
      <c r="J321" s="9"/>
      <c r="K321" s="1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7"/>
      <c r="B322" s="8"/>
      <c r="C322" s="8"/>
      <c r="D322" s="8"/>
      <c r="E322" s="8"/>
      <c r="F322" s="8"/>
      <c r="G322" s="8"/>
      <c r="H322" s="8"/>
      <c r="I322" s="9"/>
      <c r="J322" s="9"/>
      <c r="K322" s="1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7"/>
      <c r="B323" s="8"/>
      <c r="C323" s="8"/>
      <c r="D323" s="8"/>
      <c r="E323" s="8"/>
      <c r="F323" s="8"/>
      <c r="G323" s="8"/>
      <c r="H323" s="8"/>
      <c r="I323" s="9"/>
      <c r="J323" s="9"/>
      <c r="K323" s="1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7"/>
      <c r="B324" s="8"/>
      <c r="C324" s="8"/>
      <c r="D324" s="8"/>
      <c r="E324" s="8"/>
      <c r="F324" s="8"/>
      <c r="G324" s="8"/>
      <c r="H324" s="8"/>
      <c r="I324" s="9"/>
      <c r="J324" s="9"/>
      <c r="K324" s="1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7"/>
      <c r="B325" s="8"/>
      <c r="C325" s="8"/>
      <c r="D325" s="8"/>
      <c r="E325" s="8"/>
      <c r="F325" s="8"/>
      <c r="G325" s="8"/>
      <c r="H325" s="8"/>
      <c r="I325" s="9"/>
      <c r="J325" s="9"/>
      <c r="K325" s="10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7"/>
      <c r="B326" s="8"/>
      <c r="C326" s="8"/>
      <c r="D326" s="8"/>
      <c r="E326" s="8"/>
      <c r="F326" s="8"/>
      <c r="G326" s="8"/>
      <c r="H326" s="8"/>
      <c r="I326" s="9"/>
      <c r="J326" s="9"/>
      <c r="K326" s="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7"/>
      <c r="B327" s="8"/>
      <c r="C327" s="8"/>
      <c r="D327" s="8"/>
      <c r="E327" s="8"/>
      <c r="F327" s="8"/>
      <c r="G327" s="8"/>
      <c r="H327" s="8"/>
      <c r="I327" s="9"/>
      <c r="J327" s="9"/>
      <c r="K327" s="1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7"/>
      <c r="B328" s="8"/>
      <c r="C328" s="8"/>
      <c r="D328" s="8"/>
      <c r="E328" s="8"/>
      <c r="F328" s="8"/>
      <c r="G328" s="8"/>
      <c r="H328" s="8"/>
      <c r="I328" s="9"/>
      <c r="J328" s="9"/>
      <c r="K328" s="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7"/>
      <c r="B329" s="8"/>
      <c r="C329" s="8"/>
      <c r="D329" s="8"/>
      <c r="E329" s="8"/>
      <c r="F329" s="8"/>
      <c r="G329" s="8"/>
      <c r="H329" s="8"/>
      <c r="I329" s="9"/>
      <c r="J329" s="9"/>
      <c r="K329" s="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7"/>
      <c r="B330" s="8"/>
      <c r="C330" s="8"/>
      <c r="D330" s="8"/>
      <c r="E330" s="8"/>
      <c r="F330" s="8"/>
      <c r="G330" s="8"/>
      <c r="H330" s="8"/>
      <c r="I330" s="9"/>
      <c r="J330" s="9"/>
      <c r="K330" s="1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7"/>
      <c r="B331" s="8"/>
      <c r="C331" s="8"/>
      <c r="D331" s="8"/>
      <c r="E331" s="8"/>
      <c r="F331" s="8"/>
      <c r="G331" s="8"/>
      <c r="H331" s="8"/>
      <c r="I331" s="9"/>
      <c r="J331" s="9"/>
      <c r="K331" s="1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7"/>
      <c r="B332" s="8"/>
      <c r="C332" s="8"/>
      <c r="D332" s="8"/>
      <c r="E332" s="8"/>
      <c r="F332" s="8"/>
      <c r="G332" s="8"/>
      <c r="H332" s="8"/>
      <c r="I332" s="9"/>
      <c r="J332" s="9"/>
      <c r="K332" s="1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7"/>
      <c r="B333" s="8"/>
      <c r="C333" s="8"/>
      <c r="D333" s="8"/>
      <c r="E333" s="8"/>
      <c r="F333" s="8"/>
      <c r="G333" s="8"/>
      <c r="H333" s="8"/>
      <c r="I333" s="9"/>
      <c r="J333" s="9"/>
      <c r="K333" s="1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7"/>
      <c r="B334" s="8"/>
      <c r="C334" s="8"/>
      <c r="D334" s="8"/>
      <c r="E334" s="8"/>
      <c r="F334" s="8"/>
      <c r="G334" s="8"/>
      <c r="H334" s="8"/>
      <c r="I334" s="9"/>
      <c r="J334" s="9"/>
      <c r="K334" s="1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7"/>
      <c r="B335" s="8"/>
      <c r="C335" s="8"/>
      <c r="D335" s="8"/>
      <c r="E335" s="8"/>
      <c r="F335" s="8"/>
      <c r="G335" s="8"/>
      <c r="H335" s="8"/>
      <c r="I335" s="9"/>
      <c r="J335" s="9"/>
      <c r="K335" s="10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7"/>
      <c r="B336" s="8"/>
      <c r="C336" s="8"/>
      <c r="D336" s="8"/>
      <c r="E336" s="8"/>
      <c r="F336" s="8"/>
      <c r="G336" s="8"/>
      <c r="H336" s="8"/>
      <c r="I336" s="9"/>
      <c r="J336" s="9"/>
      <c r="K336" s="10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7"/>
      <c r="B337" s="8"/>
      <c r="C337" s="8"/>
      <c r="D337" s="8"/>
      <c r="E337" s="8"/>
      <c r="F337" s="8"/>
      <c r="G337" s="8"/>
      <c r="H337" s="8"/>
      <c r="I337" s="9"/>
      <c r="J337" s="9"/>
      <c r="K337" s="1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7"/>
      <c r="B338" s="8"/>
      <c r="C338" s="8"/>
      <c r="D338" s="8"/>
      <c r="E338" s="8"/>
      <c r="F338" s="8"/>
      <c r="G338" s="8"/>
      <c r="H338" s="8"/>
      <c r="I338" s="9"/>
      <c r="J338" s="9"/>
      <c r="K338" s="1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7"/>
      <c r="B339" s="8"/>
      <c r="C339" s="8"/>
      <c r="D339" s="8"/>
      <c r="E339" s="8"/>
      <c r="F339" s="8"/>
      <c r="G339" s="8"/>
      <c r="H339" s="8"/>
      <c r="I339" s="9"/>
      <c r="J339" s="9"/>
      <c r="K339" s="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7"/>
      <c r="B340" s="8"/>
      <c r="C340" s="8"/>
      <c r="D340" s="8"/>
      <c r="E340" s="8"/>
      <c r="F340" s="8"/>
      <c r="G340" s="8"/>
      <c r="H340" s="8"/>
      <c r="I340" s="9"/>
      <c r="J340" s="9"/>
      <c r="K340" s="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7"/>
      <c r="B341" s="8"/>
      <c r="C341" s="8"/>
      <c r="D341" s="8"/>
      <c r="E341" s="8"/>
      <c r="F341" s="8"/>
      <c r="G341" s="8"/>
      <c r="H341" s="8"/>
      <c r="I341" s="9"/>
      <c r="J341" s="9"/>
      <c r="K341" s="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7"/>
      <c r="B342" s="8"/>
      <c r="C342" s="8"/>
      <c r="D342" s="8"/>
      <c r="E342" s="8"/>
      <c r="F342" s="8"/>
      <c r="G342" s="8"/>
      <c r="H342" s="8"/>
      <c r="I342" s="9"/>
      <c r="J342" s="9"/>
      <c r="K342" s="1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7"/>
      <c r="B343" s="8"/>
      <c r="C343" s="8"/>
      <c r="D343" s="8"/>
      <c r="E343" s="8"/>
      <c r="F343" s="8"/>
      <c r="G343" s="8"/>
      <c r="H343" s="8"/>
      <c r="I343" s="9"/>
      <c r="J343" s="9"/>
      <c r="K343" s="10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7"/>
      <c r="B344" s="8"/>
      <c r="C344" s="8"/>
      <c r="D344" s="8"/>
      <c r="E344" s="8"/>
      <c r="F344" s="8"/>
      <c r="G344" s="8"/>
      <c r="H344" s="8"/>
      <c r="I344" s="9"/>
      <c r="J344" s="9"/>
      <c r="K344" s="1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7"/>
      <c r="B345" s="8"/>
      <c r="C345" s="8"/>
      <c r="D345" s="8"/>
      <c r="E345" s="8"/>
      <c r="F345" s="8"/>
      <c r="G345" s="8"/>
      <c r="H345" s="8"/>
      <c r="I345" s="9"/>
      <c r="J345" s="9"/>
      <c r="K345" s="1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7"/>
      <c r="B346" s="8"/>
      <c r="C346" s="8"/>
      <c r="D346" s="8"/>
      <c r="E346" s="8"/>
      <c r="F346" s="8"/>
      <c r="G346" s="8"/>
      <c r="H346" s="8"/>
      <c r="I346" s="9"/>
      <c r="J346" s="9"/>
      <c r="K346" s="1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7"/>
      <c r="B347" s="8"/>
      <c r="C347" s="8"/>
      <c r="D347" s="8"/>
      <c r="E347" s="8"/>
      <c r="F347" s="8"/>
      <c r="G347" s="8"/>
      <c r="H347" s="8"/>
      <c r="I347" s="9"/>
      <c r="J347" s="9"/>
      <c r="K347" s="1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7"/>
      <c r="B348" s="8"/>
      <c r="C348" s="8"/>
      <c r="D348" s="8"/>
      <c r="E348" s="8"/>
      <c r="F348" s="8"/>
      <c r="G348" s="8"/>
      <c r="H348" s="8"/>
      <c r="I348" s="9"/>
      <c r="J348" s="9"/>
      <c r="K348" s="10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7"/>
      <c r="B349" s="8"/>
      <c r="C349" s="8"/>
      <c r="D349" s="8"/>
      <c r="E349" s="8"/>
      <c r="F349" s="8"/>
      <c r="G349" s="8"/>
      <c r="H349" s="8"/>
      <c r="I349" s="9"/>
      <c r="J349" s="9"/>
      <c r="K349" s="1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7"/>
      <c r="B350" s="8"/>
      <c r="C350" s="8"/>
      <c r="D350" s="8"/>
      <c r="E350" s="8"/>
      <c r="F350" s="8"/>
      <c r="G350" s="8"/>
      <c r="H350" s="8"/>
      <c r="I350" s="9"/>
      <c r="J350" s="9"/>
      <c r="K350" s="1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7"/>
      <c r="B351" s="8"/>
      <c r="C351" s="8"/>
      <c r="D351" s="8"/>
      <c r="E351" s="8"/>
      <c r="F351" s="8"/>
      <c r="G351" s="8"/>
      <c r="H351" s="8"/>
      <c r="I351" s="9"/>
      <c r="J351" s="9"/>
      <c r="K351" s="10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7"/>
      <c r="B352" s="8"/>
      <c r="C352" s="8"/>
      <c r="D352" s="8"/>
      <c r="E352" s="8"/>
      <c r="F352" s="8"/>
      <c r="G352" s="8"/>
      <c r="H352" s="8"/>
      <c r="I352" s="9"/>
      <c r="J352" s="9"/>
      <c r="K352" s="10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7"/>
      <c r="B353" s="8"/>
      <c r="C353" s="8"/>
      <c r="D353" s="8"/>
      <c r="E353" s="8"/>
      <c r="F353" s="8"/>
      <c r="G353" s="8"/>
      <c r="H353" s="8"/>
      <c r="I353" s="9"/>
      <c r="J353" s="9"/>
      <c r="K353" s="10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7"/>
      <c r="B354" s="8"/>
      <c r="C354" s="8"/>
      <c r="D354" s="8"/>
      <c r="E354" s="8"/>
      <c r="F354" s="8"/>
      <c r="G354" s="8"/>
      <c r="H354" s="8"/>
      <c r="I354" s="9"/>
      <c r="J354" s="9"/>
      <c r="K354" s="10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7"/>
      <c r="B355" s="8"/>
      <c r="C355" s="8"/>
      <c r="D355" s="8"/>
      <c r="E355" s="8"/>
      <c r="F355" s="8"/>
      <c r="G355" s="8"/>
      <c r="H355" s="8"/>
      <c r="I355" s="9"/>
      <c r="J355" s="9"/>
      <c r="K355" s="10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7"/>
      <c r="B356" s="8"/>
      <c r="C356" s="8"/>
      <c r="D356" s="8"/>
      <c r="E356" s="8"/>
      <c r="F356" s="8"/>
      <c r="G356" s="8"/>
      <c r="H356" s="8"/>
      <c r="I356" s="9"/>
      <c r="J356" s="9"/>
      <c r="K356" s="1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7"/>
      <c r="B357" s="8"/>
      <c r="C357" s="8"/>
      <c r="D357" s="8"/>
      <c r="E357" s="8"/>
      <c r="F357" s="8"/>
      <c r="G357" s="8"/>
      <c r="H357" s="8"/>
      <c r="I357" s="9"/>
      <c r="J357" s="9"/>
      <c r="K357" s="1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7"/>
      <c r="B358" s="8"/>
      <c r="C358" s="8"/>
      <c r="D358" s="8"/>
      <c r="E358" s="8"/>
      <c r="F358" s="8"/>
      <c r="G358" s="8"/>
      <c r="H358" s="8"/>
      <c r="I358" s="9"/>
      <c r="J358" s="9"/>
      <c r="K358" s="1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7"/>
      <c r="B359" s="8"/>
      <c r="C359" s="8"/>
      <c r="D359" s="8"/>
      <c r="E359" s="8"/>
      <c r="F359" s="8"/>
      <c r="G359" s="8"/>
      <c r="H359" s="8"/>
      <c r="I359" s="9"/>
      <c r="J359" s="9"/>
      <c r="K359" s="1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7"/>
      <c r="B360" s="8"/>
      <c r="C360" s="8"/>
      <c r="D360" s="8"/>
      <c r="E360" s="8"/>
      <c r="F360" s="8"/>
      <c r="G360" s="8"/>
      <c r="H360" s="8"/>
      <c r="I360" s="9"/>
      <c r="J360" s="9"/>
      <c r="K360" s="1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7"/>
      <c r="B361" s="8"/>
      <c r="C361" s="8"/>
      <c r="D361" s="8"/>
      <c r="E361" s="8"/>
      <c r="F361" s="8"/>
      <c r="G361" s="8"/>
      <c r="H361" s="8"/>
      <c r="I361" s="9"/>
      <c r="J361" s="9"/>
      <c r="K361" s="1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7"/>
      <c r="B362" s="8"/>
      <c r="C362" s="8"/>
      <c r="D362" s="8"/>
      <c r="E362" s="8"/>
      <c r="F362" s="8"/>
      <c r="G362" s="8"/>
      <c r="H362" s="8"/>
      <c r="I362" s="9"/>
      <c r="J362" s="9"/>
      <c r="K362" s="10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7"/>
      <c r="B363" s="8"/>
      <c r="C363" s="8"/>
      <c r="D363" s="8"/>
      <c r="E363" s="8"/>
      <c r="F363" s="8"/>
      <c r="G363" s="8"/>
      <c r="H363" s="8"/>
      <c r="I363" s="9"/>
      <c r="J363" s="9"/>
      <c r="K363" s="10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7"/>
      <c r="B364" s="8"/>
      <c r="C364" s="8"/>
      <c r="D364" s="8"/>
      <c r="E364" s="8"/>
      <c r="F364" s="8"/>
      <c r="G364" s="8"/>
      <c r="H364" s="8"/>
      <c r="I364" s="9"/>
      <c r="J364" s="9"/>
      <c r="K364" s="10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7"/>
      <c r="B365" s="8"/>
      <c r="C365" s="8"/>
      <c r="D365" s="8"/>
      <c r="E365" s="8"/>
      <c r="F365" s="8"/>
      <c r="G365" s="8"/>
      <c r="H365" s="8"/>
      <c r="I365" s="9"/>
      <c r="J365" s="9"/>
      <c r="K365" s="10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7"/>
      <c r="B366" s="8"/>
      <c r="C366" s="8"/>
      <c r="D366" s="8"/>
      <c r="E366" s="8"/>
      <c r="F366" s="8"/>
      <c r="G366" s="8"/>
      <c r="H366" s="8"/>
      <c r="I366" s="9"/>
      <c r="J366" s="9"/>
      <c r="K366" s="1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7"/>
      <c r="B367" s="8"/>
      <c r="C367" s="8"/>
      <c r="D367" s="8"/>
      <c r="E367" s="8"/>
      <c r="F367" s="8"/>
      <c r="G367" s="8"/>
      <c r="H367" s="8"/>
      <c r="I367" s="9"/>
      <c r="J367" s="9"/>
      <c r="K367" s="1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7"/>
      <c r="B368" s="8"/>
      <c r="C368" s="8"/>
      <c r="D368" s="8"/>
      <c r="E368" s="8"/>
      <c r="F368" s="8"/>
      <c r="G368" s="8"/>
      <c r="H368" s="8"/>
      <c r="I368" s="9"/>
      <c r="J368" s="9"/>
      <c r="K368" s="1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7"/>
      <c r="B369" s="8"/>
      <c r="C369" s="8"/>
      <c r="D369" s="8"/>
      <c r="E369" s="8"/>
      <c r="F369" s="8"/>
      <c r="G369" s="8"/>
      <c r="H369" s="8"/>
      <c r="I369" s="9"/>
      <c r="J369" s="9"/>
      <c r="K369" s="1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11"/>
      <c r="B370" s="12"/>
      <c r="C370" s="12"/>
      <c r="D370" s="12"/>
      <c r="E370" s="12"/>
      <c r="F370" s="12"/>
      <c r="G370" s="12"/>
      <c r="H370" s="12"/>
      <c r="I370" s="14"/>
      <c r="J370" s="14"/>
      <c r="K370" s="1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7"/>
      <c r="B371" s="8"/>
      <c r="C371" s="8"/>
      <c r="D371" s="8"/>
      <c r="E371" s="8"/>
      <c r="F371" s="8"/>
      <c r="G371" s="8"/>
      <c r="H371" s="8"/>
      <c r="I371" s="9"/>
      <c r="J371" s="9"/>
      <c r="K371" s="10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7"/>
      <c r="B372" s="8"/>
      <c r="C372" s="8"/>
      <c r="D372" s="8"/>
      <c r="E372" s="8"/>
      <c r="F372" s="8"/>
      <c r="G372" s="8"/>
      <c r="H372" s="8"/>
      <c r="I372" s="9"/>
      <c r="J372" s="9"/>
      <c r="K372" s="10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7"/>
      <c r="B373" s="8"/>
      <c r="C373" s="8"/>
      <c r="D373" s="8"/>
      <c r="E373" s="8"/>
      <c r="F373" s="8"/>
      <c r="G373" s="8"/>
      <c r="H373" s="8"/>
      <c r="I373" s="9"/>
      <c r="J373" s="9"/>
      <c r="K373" s="10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7"/>
      <c r="B374" s="8"/>
      <c r="C374" s="8"/>
      <c r="D374" s="8"/>
      <c r="E374" s="8"/>
      <c r="F374" s="8"/>
      <c r="G374" s="8"/>
      <c r="H374" s="8"/>
      <c r="I374" s="9"/>
      <c r="J374" s="9"/>
      <c r="K374" s="10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7"/>
      <c r="B375" s="8"/>
      <c r="C375" s="8"/>
      <c r="D375" s="8"/>
      <c r="E375" s="8"/>
      <c r="F375" s="8"/>
      <c r="G375" s="8"/>
      <c r="H375" s="8"/>
      <c r="I375" s="9"/>
      <c r="J375" s="9"/>
      <c r="K375" s="10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7"/>
      <c r="B376" s="8"/>
      <c r="C376" s="8"/>
      <c r="D376" s="8"/>
      <c r="E376" s="8"/>
      <c r="F376" s="8"/>
      <c r="G376" s="8"/>
      <c r="H376" s="8"/>
      <c r="I376" s="9"/>
      <c r="J376" s="9"/>
      <c r="K376" s="10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7"/>
      <c r="B377" s="8"/>
      <c r="C377" s="8"/>
      <c r="D377" s="8"/>
      <c r="E377" s="8"/>
      <c r="F377" s="8"/>
      <c r="G377" s="8"/>
      <c r="H377" s="8"/>
      <c r="I377" s="9"/>
      <c r="J377" s="9"/>
      <c r="K377" s="10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7"/>
      <c r="B378" s="8"/>
      <c r="C378" s="8"/>
      <c r="D378" s="8"/>
      <c r="E378" s="8"/>
      <c r="F378" s="8"/>
      <c r="G378" s="8"/>
      <c r="H378" s="8"/>
      <c r="I378" s="9"/>
      <c r="J378" s="9"/>
      <c r="K378" s="10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7"/>
      <c r="B379" s="8"/>
      <c r="C379" s="8"/>
      <c r="D379" s="8"/>
      <c r="E379" s="8"/>
      <c r="F379" s="8"/>
      <c r="G379" s="8"/>
      <c r="H379" s="8"/>
      <c r="I379" s="9"/>
      <c r="J379" s="9"/>
      <c r="K379" s="10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7"/>
      <c r="B380" s="8"/>
      <c r="C380" s="8"/>
      <c r="D380" s="8"/>
      <c r="E380" s="8"/>
      <c r="F380" s="8"/>
      <c r="G380" s="8"/>
      <c r="H380" s="8"/>
      <c r="I380" s="9"/>
      <c r="J380" s="9"/>
      <c r="K380" s="10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7"/>
      <c r="B381" s="8"/>
      <c r="C381" s="8"/>
      <c r="D381" s="8"/>
      <c r="E381" s="8"/>
      <c r="F381" s="8"/>
      <c r="G381" s="8"/>
      <c r="H381" s="8"/>
      <c r="I381" s="9"/>
      <c r="J381" s="9"/>
      <c r="K381" s="10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7"/>
      <c r="B382" s="8"/>
      <c r="C382" s="8"/>
      <c r="D382" s="8"/>
      <c r="E382" s="8"/>
      <c r="F382" s="8"/>
      <c r="G382" s="8"/>
      <c r="H382" s="8"/>
      <c r="I382" s="9"/>
      <c r="J382" s="9"/>
      <c r="K382" s="10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7"/>
      <c r="B383" s="8"/>
      <c r="C383" s="8"/>
      <c r="D383" s="8"/>
      <c r="E383" s="8"/>
      <c r="F383" s="8"/>
      <c r="G383" s="8"/>
      <c r="H383" s="8"/>
      <c r="I383" s="9"/>
      <c r="J383" s="9"/>
      <c r="K383" s="10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7"/>
      <c r="B384" s="8"/>
      <c r="C384" s="8"/>
      <c r="D384" s="8"/>
      <c r="E384" s="8"/>
      <c r="F384" s="8"/>
      <c r="G384" s="8"/>
      <c r="H384" s="8"/>
      <c r="I384" s="9"/>
      <c r="J384" s="9"/>
      <c r="K384" s="10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11"/>
      <c r="B385" s="12"/>
      <c r="C385" s="12"/>
      <c r="D385" s="12"/>
      <c r="E385" s="12"/>
      <c r="F385" s="12"/>
      <c r="G385" s="12"/>
      <c r="H385" s="12"/>
      <c r="I385" s="14"/>
      <c r="J385" s="14"/>
      <c r="K385" s="10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7"/>
      <c r="B386" s="8"/>
      <c r="C386" s="8"/>
      <c r="D386" s="8"/>
      <c r="E386" s="8"/>
      <c r="F386" s="8"/>
      <c r="G386" s="8"/>
      <c r="H386" s="8"/>
      <c r="I386" s="9"/>
      <c r="J386" s="9"/>
      <c r="K386" s="10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7"/>
      <c r="B387" s="8"/>
      <c r="C387" s="8"/>
      <c r="D387" s="8"/>
      <c r="E387" s="8"/>
      <c r="F387" s="8"/>
      <c r="G387" s="8"/>
      <c r="H387" s="8"/>
      <c r="I387" s="9"/>
      <c r="J387" s="9"/>
      <c r="K387" s="10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7"/>
      <c r="B388" s="8"/>
      <c r="C388" s="8"/>
      <c r="D388" s="8"/>
      <c r="E388" s="8"/>
      <c r="F388" s="8"/>
      <c r="G388" s="8"/>
      <c r="H388" s="8"/>
      <c r="I388" s="9"/>
      <c r="J388" s="9"/>
      <c r="K388" s="10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7"/>
      <c r="B389" s="8"/>
      <c r="C389" s="8"/>
      <c r="D389" s="8"/>
      <c r="E389" s="8"/>
      <c r="F389" s="8"/>
      <c r="G389" s="8"/>
      <c r="H389" s="8"/>
      <c r="I389" s="9"/>
      <c r="J389" s="9"/>
      <c r="K389" s="10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7"/>
      <c r="B390" s="8"/>
      <c r="C390" s="8"/>
      <c r="D390" s="8"/>
      <c r="E390" s="8"/>
      <c r="F390" s="8"/>
      <c r="G390" s="8"/>
      <c r="H390" s="8"/>
      <c r="I390" s="9"/>
      <c r="J390" s="9"/>
      <c r="K390" s="10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7"/>
      <c r="B391" s="8"/>
      <c r="C391" s="8"/>
      <c r="D391" s="8"/>
      <c r="E391" s="8"/>
      <c r="F391" s="8"/>
      <c r="G391" s="8"/>
      <c r="H391" s="8"/>
      <c r="I391" s="9"/>
      <c r="J391" s="9"/>
      <c r="K391" s="10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7"/>
      <c r="B392" s="8"/>
      <c r="C392" s="8"/>
      <c r="D392" s="8"/>
      <c r="E392" s="8"/>
      <c r="F392" s="8"/>
      <c r="G392" s="8"/>
      <c r="H392" s="8"/>
      <c r="I392" s="9"/>
      <c r="J392" s="9"/>
      <c r="K392" s="10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7"/>
      <c r="B393" s="8"/>
      <c r="C393" s="8"/>
      <c r="D393" s="8"/>
      <c r="E393" s="8"/>
      <c r="F393" s="8"/>
      <c r="G393" s="8"/>
      <c r="H393" s="8"/>
      <c r="I393" s="9"/>
      <c r="J393" s="9"/>
      <c r="K393" s="10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7"/>
      <c r="B394" s="8"/>
      <c r="C394" s="8"/>
      <c r="D394" s="8"/>
      <c r="E394" s="8"/>
      <c r="F394" s="8"/>
      <c r="G394" s="8"/>
      <c r="H394" s="8"/>
      <c r="I394" s="9"/>
      <c r="J394" s="9"/>
      <c r="K394" s="10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7"/>
      <c r="B395" s="8"/>
      <c r="C395" s="8"/>
      <c r="D395" s="8"/>
      <c r="E395" s="8"/>
      <c r="F395" s="8"/>
      <c r="G395" s="8"/>
      <c r="H395" s="8"/>
      <c r="I395" s="9"/>
      <c r="J395" s="9"/>
      <c r="K395" s="10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7"/>
      <c r="B396" s="8"/>
      <c r="C396" s="8"/>
      <c r="D396" s="8"/>
      <c r="E396" s="8"/>
      <c r="F396" s="8"/>
      <c r="G396" s="8"/>
      <c r="H396" s="8"/>
      <c r="I396" s="9"/>
      <c r="J396" s="9"/>
      <c r="K396" s="10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7"/>
      <c r="B397" s="8"/>
      <c r="C397" s="8"/>
      <c r="D397" s="8"/>
      <c r="E397" s="8"/>
      <c r="F397" s="8"/>
      <c r="G397" s="8"/>
      <c r="H397" s="8"/>
      <c r="I397" s="9"/>
      <c r="J397" s="9"/>
      <c r="K397" s="10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7"/>
      <c r="B398" s="8"/>
      <c r="C398" s="8"/>
      <c r="D398" s="8"/>
      <c r="E398" s="8"/>
      <c r="F398" s="8"/>
      <c r="G398" s="8"/>
      <c r="H398" s="8"/>
      <c r="I398" s="9"/>
      <c r="J398" s="9"/>
      <c r="K398" s="1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7"/>
      <c r="B399" s="8"/>
      <c r="C399" s="8"/>
      <c r="D399" s="8"/>
      <c r="E399" s="8"/>
      <c r="F399" s="8"/>
      <c r="G399" s="8"/>
      <c r="H399" s="8"/>
      <c r="I399" s="9"/>
      <c r="J399" s="9"/>
      <c r="K399" s="1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7"/>
      <c r="B400" s="8"/>
      <c r="C400" s="8"/>
      <c r="D400" s="8"/>
      <c r="E400" s="8"/>
      <c r="F400" s="8"/>
      <c r="G400" s="8"/>
      <c r="H400" s="8"/>
      <c r="I400" s="9"/>
      <c r="J400" s="9"/>
      <c r="K400" s="1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7"/>
      <c r="B401" s="8"/>
      <c r="C401" s="8"/>
      <c r="D401" s="8"/>
      <c r="E401" s="8"/>
      <c r="F401" s="8"/>
      <c r="G401" s="8"/>
      <c r="H401" s="8"/>
      <c r="I401" s="9"/>
      <c r="J401" s="9"/>
      <c r="K401" s="1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7"/>
      <c r="B402" s="8"/>
      <c r="C402" s="8"/>
      <c r="D402" s="8"/>
      <c r="E402" s="8"/>
      <c r="F402" s="8"/>
      <c r="G402" s="8"/>
      <c r="H402" s="8"/>
      <c r="I402" s="9"/>
      <c r="J402" s="9"/>
      <c r="K402" s="10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7"/>
      <c r="B403" s="8"/>
      <c r="C403" s="8"/>
      <c r="D403" s="8"/>
      <c r="E403" s="8"/>
      <c r="F403" s="8"/>
      <c r="G403" s="8"/>
      <c r="H403" s="8"/>
      <c r="I403" s="9"/>
      <c r="J403" s="9"/>
      <c r="K403" s="10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7"/>
      <c r="B404" s="8"/>
      <c r="C404" s="8"/>
      <c r="D404" s="8"/>
      <c r="E404" s="8"/>
      <c r="F404" s="8"/>
      <c r="G404" s="8"/>
      <c r="H404" s="8"/>
      <c r="I404" s="9"/>
      <c r="J404" s="9"/>
      <c r="K404" s="10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7"/>
      <c r="B405" s="8"/>
      <c r="C405" s="8"/>
      <c r="D405" s="8"/>
      <c r="E405" s="8"/>
      <c r="F405" s="8"/>
      <c r="G405" s="8"/>
      <c r="H405" s="8"/>
      <c r="I405" s="9"/>
      <c r="J405" s="9"/>
      <c r="K405" s="10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7"/>
      <c r="B406" s="8"/>
      <c r="C406" s="8"/>
      <c r="D406" s="8"/>
      <c r="E406" s="8"/>
      <c r="F406" s="8"/>
      <c r="G406" s="8"/>
      <c r="H406" s="8"/>
      <c r="I406" s="9"/>
      <c r="J406" s="9"/>
      <c r="K406" s="10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7"/>
      <c r="B407" s="8"/>
      <c r="C407" s="8"/>
      <c r="D407" s="8"/>
      <c r="E407" s="8"/>
      <c r="F407" s="8"/>
      <c r="G407" s="8"/>
      <c r="H407" s="8"/>
      <c r="I407" s="9"/>
      <c r="J407" s="9"/>
      <c r="K407" s="10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7"/>
      <c r="B408" s="8"/>
      <c r="C408" s="8"/>
      <c r="D408" s="8"/>
      <c r="E408" s="8"/>
      <c r="F408" s="8"/>
      <c r="G408" s="8"/>
      <c r="H408" s="8"/>
      <c r="I408" s="9"/>
      <c r="J408" s="9"/>
      <c r="K408" s="10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7"/>
      <c r="B409" s="8"/>
      <c r="C409" s="8"/>
      <c r="D409" s="8"/>
      <c r="E409" s="8"/>
      <c r="F409" s="8"/>
      <c r="G409" s="8"/>
      <c r="H409" s="8"/>
      <c r="I409" s="9"/>
      <c r="J409" s="9"/>
      <c r="K409" s="10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7"/>
      <c r="B410" s="8"/>
      <c r="C410" s="8"/>
      <c r="D410" s="8"/>
      <c r="E410" s="8"/>
      <c r="F410" s="8"/>
      <c r="G410" s="8"/>
      <c r="H410" s="8"/>
      <c r="I410" s="9"/>
      <c r="J410" s="9"/>
      <c r="K410" s="10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7"/>
      <c r="B411" s="8"/>
      <c r="C411" s="8"/>
      <c r="D411" s="8"/>
      <c r="E411" s="8"/>
      <c r="F411" s="8"/>
      <c r="G411" s="8"/>
      <c r="H411" s="8"/>
      <c r="I411" s="9"/>
      <c r="J411" s="9"/>
      <c r="K411" s="1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7"/>
      <c r="B412" s="8"/>
      <c r="C412" s="8"/>
      <c r="D412" s="8"/>
      <c r="E412" s="8"/>
      <c r="F412" s="8"/>
      <c r="G412" s="8"/>
      <c r="H412" s="8"/>
      <c r="I412" s="9"/>
      <c r="J412" s="9"/>
      <c r="K412" s="1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7"/>
      <c r="B413" s="8"/>
      <c r="C413" s="8"/>
      <c r="D413" s="8"/>
      <c r="E413" s="8"/>
      <c r="F413" s="8"/>
      <c r="G413" s="8"/>
      <c r="H413" s="8"/>
      <c r="I413" s="9"/>
      <c r="J413" s="9"/>
      <c r="K413" s="1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7"/>
      <c r="B414" s="8"/>
      <c r="C414" s="8"/>
      <c r="D414" s="8"/>
      <c r="E414" s="8"/>
      <c r="F414" s="8"/>
      <c r="G414" s="8"/>
      <c r="H414" s="8"/>
      <c r="I414" s="9"/>
      <c r="J414" s="9"/>
      <c r="K414" s="1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7"/>
      <c r="B415" s="8"/>
      <c r="C415" s="8"/>
      <c r="D415" s="8"/>
      <c r="E415" s="8"/>
      <c r="F415" s="8"/>
      <c r="G415" s="8"/>
      <c r="H415" s="8"/>
      <c r="I415" s="9"/>
      <c r="J415" s="9"/>
      <c r="K415" s="10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7"/>
      <c r="B416" s="8"/>
      <c r="C416" s="8"/>
      <c r="D416" s="8"/>
      <c r="E416" s="8"/>
      <c r="F416" s="8"/>
      <c r="G416" s="8"/>
      <c r="H416" s="8"/>
      <c r="I416" s="9"/>
      <c r="J416" s="9"/>
      <c r="K416" s="10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7"/>
      <c r="B417" s="8"/>
      <c r="C417" s="8"/>
      <c r="D417" s="8"/>
      <c r="E417" s="8"/>
      <c r="F417" s="8"/>
      <c r="G417" s="8"/>
      <c r="H417" s="8"/>
      <c r="I417" s="9"/>
      <c r="J417" s="9"/>
      <c r="K417" s="10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7"/>
      <c r="B418" s="8"/>
      <c r="C418" s="8"/>
      <c r="D418" s="8"/>
      <c r="E418" s="8"/>
      <c r="F418" s="8"/>
      <c r="G418" s="8"/>
      <c r="H418" s="8"/>
      <c r="I418" s="9"/>
      <c r="J418" s="9"/>
      <c r="K418" s="10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7"/>
      <c r="B419" s="8"/>
      <c r="C419" s="8"/>
      <c r="D419" s="8"/>
      <c r="E419" s="8"/>
      <c r="F419" s="8"/>
      <c r="G419" s="8"/>
      <c r="H419" s="8"/>
      <c r="I419" s="9"/>
      <c r="J419" s="9"/>
      <c r="K419" s="10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7"/>
      <c r="B420" s="8"/>
      <c r="C420" s="8"/>
      <c r="D420" s="8"/>
      <c r="E420" s="8"/>
      <c r="F420" s="8"/>
      <c r="G420" s="8"/>
      <c r="H420" s="8"/>
      <c r="I420" s="9"/>
      <c r="J420" s="9"/>
      <c r="K420" s="10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7"/>
      <c r="B421" s="8"/>
      <c r="C421" s="8"/>
      <c r="D421" s="8"/>
      <c r="E421" s="8"/>
      <c r="F421" s="8"/>
      <c r="G421" s="8"/>
      <c r="H421" s="8"/>
      <c r="I421" s="9"/>
      <c r="J421" s="9"/>
      <c r="K421" s="10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7"/>
      <c r="B422" s="8"/>
      <c r="C422" s="8"/>
      <c r="D422" s="8"/>
      <c r="E422" s="8"/>
      <c r="F422" s="8"/>
      <c r="G422" s="8"/>
      <c r="H422" s="8"/>
      <c r="I422" s="9"/>
      <c r="J422" s="9"/>
      <c r="K422" s="10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7"/>
      <c r="B423" s="8"/>
      <c r="C423" s="8"/>
      <c r="D423" s="8"/>
      <c r="E423" s="8"/>
      <c r="F423" s="8"/>
      <c r="G423" s="8"/>
      <c r="H423" s="8"/>
      <c r="I423" s="9"/>
      <c r="J423" s="9"/>
      <c r="K423" s="10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7"/>
      <c r="B424" s="8"/>
      <c r="C424" s="8"/>
      <c r="D424" s="8"/>
      <c r="E424" s="8"/>
      <c r="F424" s="8"/>
      <c r="G424" s="8"/>
      <c r="H424" s="8"/>
      <c r="I424" s="9"/>
      <c r="J424" s="9"/>
      <c r="K424" s="10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7"/>
      <c r="B425" s="8"/>
      <c r="C425" s="8"/>
      <c r="D425" s="8"/>
      <c r="E425" s="8"/>
      <c r="F425" s="8"/>
      <c r="G425" s="8"/>
      <c r="H425" s="8"/>
      <c r="I425" s="9"/>
      <c r="J425" s="9"/>
      <c r="K425" s="10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7"/>
      <c r="B426" s="8"/>
      <c r="C426" s="8"/>
      <c r="D426" s="8"/>
      <c r="E426" s="8"/>
      <c r="F426" s="8"/>
      <c r="G426" s="8"/>
      <c r="H426" s="8"/>
      <c r="I426" s="9"/>
      <c r="J426" s="9"/>
      <c r="K426" s="10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7"/>
      <c r="B427" s="8"/>
      <c r="C427" s="8"/>
      <c r="D427" s="8"/>
      <c r="E427" s="8"/>
      <c r="F427" s="8"/>
      <c r="G427" s="8"/>
      <c r="H427" s="8"/>
      <c r="I427" s="9"/>
      <c r="J427" s="9"/>
      <c r="K427" s="10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7"/>
      <c r="B428" s="8"/>
      <c r="C428" s="8"/>
      <c r="D428" s="8"/>
      <c r="E428" s="8"/>
      <c r="F428" s="8"/>
      <c r="G428" s="8"/>
      <c r="H428" s="8"/>
      <c r="I428" s="9"/>
      <c r="J428" s="9"/>
      <c r="K428" s="10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7"/>
      <c r="B429" s="8"/>
      <c r="C429" s="8"/>
      <c r="D429" s="8"/>
      <c r="E429" s="8"/>
      <c r="F429" s="8"/>
      <c r="G429" s="8"/>
      <c r="H429" s="8"/>
      <c r="I429" s="9"/>
      <c r="J429" s="9"/>
      <c r="K429" s="10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7"/>
      <c r="B430" s="8"/>
      <c r="C430" s="8"/>
      <c r="D430" s="8"/>
      <c r="E430" s="8"/>
      <c r="F430" s="8"/>
      <c r="G430" s="8"/>
      <c r="H430" s="8"/>
      <c r="I430" s="9"/>
      <c r="J430" s="9"/>
      <c r="K430" s="10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7"/>
      <c r="B431" s="8"/>
      <c r="C431" s="8"/>
      <c r="D431" s="8"/>
      <c r="E431" s="8"/>
      <c r="F431" s="8"/>
      <c r="G431" s="8"/>
      <c r="H431" s="8"/>
      <c r="I431" s="9"/>
      <c r="J431" s="9"/>
      <c r="K431" s="10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7"/>
      <c r="B432" s="8"/>
      <c r="C432" s="8"/>
      <c r="D432" s="8"/>
      <c r="E432" s="8"/>
      <c r="F432" s="8"/>
      <c r="G432" s="8"/>
      <c r="H432" s="8"/>
      <c r="I432" s="9"/>
      <c r="J432" s="9"/>
      <c r="K432" s="10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7"/>
      <c r="B433" s="8"/>
      <c r="C433" s="8"/>
      <c r="D433" s="8"/>
      <c r="E433" s="8"/>
      <c r="F433" s="8"/>
      <c r="G433" s="8"/>
      <c r="H433" s="8"/>
      <c r="I433" s="9"/>
      <c r="J433" s="9"/>
      <c r="K433" s="10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7"/>
      <c r="B434" s="8"/>
      <c r="C434" s="8"/>
      <c r="D434" s="8"/>
      <c r="E434" s="8"/>
      <c r="F434" s="8"/>
      <c r="G434" s="8"/>
      <c r="H434" s="8"/>
      <c r="I434" s="9"/>
      <c r="J434" s="9"/>
      <c r="K434" s="10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7"/>
      <c r="B435" s="8"/>
      <c r="C435" s="8"/>
      <c r="D435" s="8"/>
      <c r="E435" s="8"/>
      <c r="F435" s="8"/>
      <c r="G435" s="8"/>
      <c r="H435" s="8"/>
      <c r="I435" s="9"/>
      <c r="J435" s="9"/>
      <c r="K435" s="10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7"/>
      <c r="B436" s="8"/>
      <c r="C436" s="8"/>
      <c r="D436" s="8"/>
      <c r="E436" s="8"/>
      <c r="F436" s="8"/>
      <c r="G436" s="8"/>
      <c r="H436" s="8"/>
      <c r="I436" s="9"/>
      <c r="J436" s="9"/>
      <c r="K436" s="10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7"/>
      <c r="B437" s="8"/>
      <c r="C437" s="8"/>
      <c r="D437" s="8"/>
      <c r="E437" s="8"/>
      <c r="F437" s="8"/>
      <c r="G437" s="8"/>
      <c r="H437" s="8"/>
      <c r="I437" s="9"/>
      <c r="J437" s="9"/>
      <c r="K437" s="10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7"/>
      <c r="B438" s="8"/>
      <c r="C438" s="8"/>
      <c r="D438" s="8"/>
      <c r="E438" s="8"/>
      <c r="F438" s="8"/>
      <c r="G438" s="8"/>
      <c r="H438" s="8"/>
      <c r="I438" s="9"/>
      <c r="J438" s="9"/>
      <c r="K438" s="10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7"/>
      <c r="B439" s="8"/>
      <c r="C439" s="8"/>
      <c r="D439" s="8"/>
      <c r="E439" s="8"/>
      <c r="F439" s="8"/>
      <c r="G439" s="8"/>
      <c r="H439" s="8"/>
      <c r="I439" s="9"/>
      <c r="J439" s="9"/>
      <c r="K439" s="10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7"/>
      <c r="B440" s="8"/>
      <c r="C440" s="8"/>
      <c r="D440" s="8"/>
      <c r="E440" s="8"/>
      <c r="F440" s="8"/>
      <c r="G440" s="8"/>
      <c r="H440" s="8"/>
      <c r="I440" s="9"/>
      <c r="J440" s="9"/>
      <c r="K440" s="10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7"/>
      <c r="B441" s="8"/>
      <c r="C441" s="8"/>
      <c r="D441" s="8"/>
      <c r="E441" s="8"/>
      <c r="F441" s="8"/>
      <c r="G441" s="8"/>
      <c r="H441" s="8"/>
      <c r="I441" s="9"/>
      <c r="J441" s="9"/>
      <c r="K441" s="10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7"/>
      <c r="B442" s="8"/>
      <c r="C442" s="8"/>
      <c r="D442" s="8"/>
      <c r="E442" s="8"/>
      <c r="F442" s="8"/>
      <c r="G442" s="8"/>
      <c r="H442" s="8"/>
      <c r="I442" s="9"/>
      <c r="J442" s="9"/>
      <c r="K442" s="10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7"/>
      <c r="B443" s="8"/>
      <c r="C443" s="8"/>
      <c r="D443" s="8"/>
      <c r="E443" s="8"/>
      <c r="F443" s="8"/>
      <c r="G443" s="8"/>
      <c r="H443" s="8"/>
      <c r="I443" s="9"/>
      <c r="J443" s="9"/>
      <c r="K443" s="10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7"/>
      <c r="B444" s="8"/>
      <c r="C444" s="8"/>
      <c r="D444" s="8"/>
      <c r="E444" s="8"/>
      <c r="F444" s="8"/>
      <c r="G444" s="8"/>
      <c r="H444" s="8"/>
      <c r="I444" s="9"/>
      <c r="J444" s="9"/>
      <c r="K444" s="1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7"/>
      <c r="B445" s="8"/>
      <c r="C445" s="8"/>
      <c r="D445" s="8"/>
      <c r="E445" s="8"/>
      <c r="F445" s="8"/>
      <c r="G445" s="8"/>
      <c r="H445" s="8"/>
      <c r="I445" s="9"/>
      <c r="J445" s="9"/>
      <c r="K445" s="1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7"/>
      <c r="B446" s="8"/>
      <c r="C446" s="8"/>
      <c r="D446" s="8"/>
      <c r="E446" s="8"/>
      <c r="F446" s="8"/>
      <c r="G446" s="8"/>
      <c r="H446" s="8"/>
      <c r="I446" s="9"/>
      <c r="J446" s="9"/>
      <c r="K446" s="10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7"/>
      <c r="B447" s="8"/>
      <c r="C447" s="8"/>
      <c r="D447" s="8"/>
      <c r="E447" s="8"/>
      <c r="F447" s="8"/>
      <c r="G447" s="8"/>
      <c r="H447" s="8"/>
      <c r="I447" s="9"/>
      <c r="J447" s="9"/>
      <c r="K447" s="10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7"/>
      <c r="B448" s="8"/>
      <c r="C448" s="8"/>
      <c r="D448" s="8"/>
      <c r="E448" s="8"/>
      <c r="F448" s="8"/>
      <c r="G448" s="8"/>
      <c r="H448" s="8"/>
      <c r="I448" s="9"/>
      <c r="J448" s="9"/>
      <c r="K448" s="10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7"/>
      <c r="B449" s="8"/>
      <c r="C449" s="8"/>
      <c r="D449" s="8"/>
      <c r="E449" s="8"/>
      <c r="F449" s="8"/>
      <c r="G449" s="8"/>
      <c r="H449" s="8"/>
      <c r="I449" s="9"/>
      <c r="J449" s="9"/>
      <c r="K449" s="10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7"/>
      <c r="B450" s="8"/>
      <c r="C450" s="8"/>
      <c r="D450" s="8"/>
      <c r="E450" s="8"/>
      <c r="F450" s="8"/>
      <c r="G450" s="8"/>
      <c r="H450" s="8"/>
      <c r="I450" s="9"/>
      <c r="J450" s="9"/>
      <c r="K450" s="10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7"/>
      <c r="B451" s="8"/>
      <c r="C451" s="8"/>
      <c r="D451" s="8"/>
      <c r="E451" s="8"/>
      <c r="F451" s="8"/>
      <c r="G451" s="8"/>
      <c r="H451" s="8"/>
      <c r="I451" s="9"/>
      <c r="J451" s="9"/>
      <c r="K451" s="10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7"/>
      <c r="B452" s="8"/>
      <c r="C452" s="8"/>
      <c r="D452" s="8"/>
      <c r="E452" s="8"/>
      <c r="F452" s="8"/>
      <c r="G452" s="8"/>
      <c r="H452" s="8"/>
      <c r="I452" s="9"/>
      <c r="J452" s="9"/>
      <c r="K452" s="1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7"/>
      <c r="B453" s="8"/>
      <c r="C453" s="8"/>
      <c r="D453" s="8"/>
      <c r="E453" s="8"/>
      <c r="F453" s="8"/>
      <c r="G453" s="8"/>
      <c r="H453" s="8"/>
      <c r="I453" s="9"/>
      <c r="J453" s="9"/>
      <c r="K453" s="1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7"/>
      <c r="B454" s="8"/>
      <c r="C454" s="8"/>
      <c r="D454" s="8"/>
      <c r="E454" s="8"/>
      <c r="F454" s="8"/>
      <c r="G454" s="8"/>
      <c r="H454" s="8"/>
      <c r="I454" s="9"/>
      <c r="J454" s="9"/>
      <c r="K454" s="1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7"/>
      <c r="B455" s="8"/>
      <c r="C455" s="8"/>
      <c r="D455" s="8"/>
      <c r="E455" s="8"/>
      <c r="F455" s="8"/>
      <c r="G455" s="8"/>
      <c r="H455" s="8"/>
      <c r="I455" s="9"/>
      <c r="J455" s="9"/>
      <c r="K455" s="1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7"/>
      <c r="B456" s="8"/>
      <c r="C456" s="8"/>
      <c r="D456" s="8"/>
      <c r="E456" s="8"/>
      <c r="F456" s="8"/>
      <c r="G456" s="8"/>
      <c r="H456" s="8"/>
      <c r="I456" s="9"/>
      <c r="J456" s="9"/>
      <c r="K456" s="10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7"/>
      <c r="B457" s="8"/>
      <c r="C457" s="8"/>
      <c r="D457" s="8"/>
      <c r="E457" s="8"/>
      <c r="F457" s="8"/>
      <c r="G457" s="8"/>
      <c r="H457" s="8"/>
      <c r="I457" s="9"/>
      <c r="J457" s="9"/>
      <c r="K457" s="10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7"/>
      <c r="B458" s="8"/>
      <c r="C458" s="8"/>
      <c r="D458" s="8"/>
      <c r="E458" s="8"/>
      <c r="F458" s="8"/>
      <c r="G458" s="8"/>
      <c r="H458" s="8"/>
      <c r="I458" s="9"/>
      <c r="J458" s="9"/>
      <c r="K458" s="10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7"/>
      <c r="B459" s="8"/>
      <c r="C459" s="8"/>
      <c r="D459" s="8"/>
      <c r="E459" s="8"/>
      <c r="F459" s="8"/>
      <c r="G459" s="8"/>
      <c r="H459" s="8"/>
      <c r="I459" s="9"/>
      <c r="J459" s="9"/>
      <c r="K459" s="10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7"/>
      <c r="B460" s="8"/>
      <c r="C460" s="8"/>
      <c r="D460" s="8"/>
      <c r="E460" s="8"/>
      <c r="F460" s="8"/>
      <c r="G460" s="8"/>
      <c r="H460" s="8"/>
      <c r="I460" s="9"/>
      <c r="J460" s="9"/>
      <c r="K460" s="10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7"/>
      <c r="B461" s="8"/>
      <c r="C461" s="8"/>
      <c r="D461" s="8"/>
      <c r="E461" s="8"/>
      <c r="F461" s="8"/>
      <c r="G461" s="8"/>
      <c r="H461" s="8"/>
      <c r="I461" s="9"/>
      <c r="J461" s="9"/>
      <c r="K461" s="10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7"/>
      <c r="B462" s="8"/>
      <c r="C462" s="8"/>
      <c r="D462" s="8"/>
      <c r="E462" s="8"/>
      <c r="F462" s="8"/>
      <c r="G462" s="8"/>
      <c r="H462" s="8"/>
      <c r="I462" s="9"/>
      <c r="J462" s="9"/>
      <c r="K462" s="10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7"/>
      <c r="B463" s="8"/>
      <c r="C463" s="8"/>
      <c r="D463" s="8"/>
      <c r="E463" s="8"/>
      <c r="F463" s="8"/>
      <c r="G463" s="8"/>
      <c r="H463" s="8"/>
      <c r="I463" s="9"/>
      <c r="J463" s="9"/>
      <c r="K463" s="10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7"/>
      <c r="B464" s="8"/>
      <c r="C464" s="8"/>
      <c r="D464" s="8"/>
      <c r="E464" s="8"/>
      <c r="F464" s="8"/>
      <c r="G464" s="8"/>
      <c r="H464" s="8"/>
      <c r="I464" s="9"/>
      <c r="J464" s="9"/>
      <c r="K464" s="1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7"/>
      <c r="B465" s="8"/>
      <c r="C465" s="8"/>
      <c r="D465" s="8"/>
      <c r="E465" s="8"/>
      <c r="F465" s="8"/>
      <c r="G465" s="8"/>
      <c r="H465" s="8"/>
      <c r="I465" s="9"/>
      <c r="J465" s="9"/>
      <c r="K465" s="1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7"/>
      <c r="B466" s="8"/>
      <c r="C466" s="8"/>
      <c r="D466" s="8"/>
      <c r="E466" s="8"/>
      <c r="F466" s="8"/>
      <c r="G466" s="8"/>
      <c r="H466" s="8"/>
      <c r="I466" s="9"/>
      <c r="J466" s="9"/>
      <c r="K466" s="1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7"/>
      <c r="B467" s="8"/>
      <c r="C467" s="8"/>
      <c r="D467" s="8"/>
      <c r="E467" s="8"/>
      <c r="F467" s="8"/>
      <c r="G467" s="8"/>
      <c r="H467" s="8"/>
      <c r="I467" s="9"/>
      <c r="J467" s="9"/>
      <c r="K467" s="1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7"/>
      <c r="B468" s="8"/>
      <c r="C468" s="8"/>
      <c r="D468" s="8"/>
      <c r="E468" s="8"/>
      <c r="F468" s="8"/>
      <c r="G468" s="8"/>
      <c r="H468" s="8"/>
      <c r="I468" s="9"/>
      <c r="J468" s="9"/>
      <c r="K468" s="10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7"/>
      <c r="B469" s="8"/>
      <c r="C469" s="8"/>
      <c r="D469" s="8"/>
      <c r="E469" s="8"/>
      <c r="F469" s="8"/>
      <c r="G469" s="8"/>
      <c r="H469" s="8"/>
      <c r="I469" s="9"/>
      <c r="J469" s="9"/>
      <c r="K469" s="10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7"/>
      <c r="B470" s="8"/>
      <c r="C470" s="8"/>
      <c r="D470" s="8"/>
      <c r="E470" s="8"/>
      <c r="F470" s="8"/>
      <c r="G470" s="8"/>
      <c r="H470" s="8"/>
      <c r="I470" s="9"/>
      <c r="J470" s="9"/>
      <c r="K470" s="10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7"/>
      <c r="B471" s="8"/>
      <c r="C471" s="8"/>
      <c r="D471" s="8"/>
      <c r="E471" s="8"/>
      <c r="F471" s="8"/>
      <c r="G471" s="8"/>
      <c r="H471" s="8"/>
      <c r="I471" s="9"/>
      <c r="J471" s="9"/>
      <c r="K471" s="10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7"/>
      <c r="B472" s="8"/>
      <c r="C472" s="8"/>
      <c r="D472" s="8"/>
      <c r="E472" s="8"/>
      <c r="F472" s="8"/>
      <c r="G472" s="8"/>
      <c r="H472" s="8"/>
      <c r="I472" s="9"/>
      <c r="J472" s="9"/>
      <c r="K472" s="10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7"/>
      <c r="B473" s="8"/>
      <c r="C473" s="8"/>
      <c r="D473" s="8"/>
      <c r="E473" s="8"/>
      <c r="F473" s="8"/>
      <c r="G473" s="8"/>
      <c r="H473" s="8"/>
      <c r="I473" s="9"/>
      <c r="J473" s="9"/>
      <c r="K473" s="10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7"/>
      <c r="B474" s="8"/>
      <c r="C474" s="8"/>
      <c r="D474" s="8"/>
      <c r="E474" s="8"/>
      <c r="F474" s="8"/>
      <c r="G474" s="8"/>
      <c r="H474" s="8"/>
      <c r="I474" s="9"/>
      <c r="J474" s="9"/>
      <c r="K474" s="10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7"/>
      <c r="B475" s="8"/>
      <c r="C475" s="8"/>
      <c r="D475" s="8"/>
      <c r="E475" s="8"/>
      <c r="F475" s="8"/>
      <c r="G475" s="8"/>
      <c r="H475" s="8"/>
      <c r="I475" s="9"/>
      <c r="J475" s="9"/>
      <c r="K475" s="10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7"/>
      <c r="B476" s="8"/>
      <c r="C476" s="8"/>
      <c r="D476" s="8"/>
      <c r="E476" s="8"/>
      <c r="F476" s="8"/>
      <c r="G476" s="8"/>
      <c r="H476" s="8"/>
      <c r="I476" s="9"/>
      <c r="J476" s="9"/>
      <c r="K476" s="10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7"/>
      <c r="B477" s="8"/>
      <c r="C477" s="8"/>
      <c r="D477" s="8"/>
      <c r="E477" s="8"/>
      <c r="F477" s="8"/>
      <c r="G477" s="8"/>
      <c r="H477" s="8"/>
      <c r="I477" s="9"/>
      <c r="J477" s="9"/>
      <c r="K477" s="10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7"/>
      <c r="B478" s="8"/>
      <c r="C478" s="8"/>
      <c r="D478" s="8"/>
      <c r="E478" s="8"/>
      <c r="F478" s="8"/>
      <c r="G478" s="8"/>
      <c r="H478" s="8"/>
      <c r="I478" s="9"/>
      <c r="J478" s="9"/>
      <c r="K478" s="10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7"/>
      <c r="B479" s="8"/>
      <c r="C479" s="8"/>
      <c r="D479" s="8"/>
      <c r="E479" s="8"/>
      <c r="F479" s="8"/>
      <c r="G479" s="8"/>
      <c r="H479" s="8"/>
      <c r="I479" s="9"/>
      <c r="J479" s="9"/>
      <c r="K479" s="10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7"/>
      <c r="B480" s="8"/>
      <c r="C480" s="8"/>
      <c r="D480" s="8"/>
      <c r="E480" s="8"/>
      <c r="F480" s="8"/>
      <c r="G480" s="8"/>
      <c r="H480" s="8"/>
      <c r="I480" s="9"/>
      <c r="J480" s="9"/>
      <c r="K480" s="10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7"/>
      <c r="B481" s="8"/>
      <c r="C481" s="8"/>
      <c r="D481" s="8"/>
      <c r="E481" s="8"/>
      <c r="F481" s="8"/>
      <c r="G481" s="8"/>
      <c r="H481" s="8"/>
      <c r="I481" s="9"/>
      <c r="J481" s="9"/>
      <c r="K481" s="10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7"/>
      <c r="B482" s="8"/>
      <c r="C482" s="8"/>
      <c r="D482" s="8"/>
      <c r="E482" s="8"/>
      <c r="F482" s="8"/>
      <c r="G482" s="8"/>
      <c r="H482" s="8"/>
      <c r="I482" s="9"/>
      <c r="J482" s="9"/>
      <c r="K482" s="10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7"/>
      <c r="B483" s="8"/>
      <c r="C483" s="8"/>
      <c r="D483" s="8"/>
      <c r="E483" s="8"/>
      <c r="F483" s="8"/>
      <c r="G483" s="8"/>
      <c r="H483" s="8"/>
      <c r="I483" s="9"/>
      <c r="J483" s="9"/>
      <c r="K483" s="10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7"/>
      <c r="B484" s="8"/>
      <c r="C484" s="8"/>
      <c r="D484" s="8"/>
      <c r="E484" s="8"/>
      <c r="F484" s="8"/>
      <c r="G484" s="8"/>
      <c r="H484" s="8"/>
      <c r="I484" s="9"/>
      <c r="J484" s="9"/>
      <c r="K484" s="10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7"/>
      <c r="B485" s="8"/>
      <c r="C485" s="8"/>
      <c r="D485" s="8"/>
      <c r="E485" s="8"/>
      <c r="F485" s="8"/>
      <c r="G485" s="8"/>
      <c r="H485" s="8"/>
      <c r="I485" s="9"/>
      <c r="J485" s="9"/>
      <c r="K485" s="10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7"/>
      <c r="B486" s="8"/>
      <c r="C486" s="8"/>
      <c r="D486" s="8"/>
      <c r="E486" s="8"/>
      <c r="F486" s="8"/>
      <c r="G486" s="8"/>
      <c r="H486" s="8"/>
      <c r="I486" s="9"/>
      <c r="J486" s="9"/>
      <c r="K486" s="10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7"/>
      <c r="B487" s="8"/>
      <c r="C487" s="8"/>
      <c r="D487" s="8"/>
      <c r="E487" s="8"/>
      <c r="F487" s="8"/>
      <c r="G487" s="8"/>
      <c r="H487" s="8"/>
      <c r="I487" s="9"/>
      <c r="J487" s="9"/>
      <c r="K487" s="10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7"/>
      <c r="B488" s="8"/>
      <c r="C488" s="8"/>
      <c r="D488" s="8"/>
      <c r="E488" s="8"/>
      <c r="F488" s="8"/>
      <c r="G488" s="8"/>
      <c r="H488" s="8"/>
      <c r="I488" s="9"/>
      <c r="J488" s="9"/>
      <c r="K488" s="10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7"/>
      <c r="B489" s="8"/>
      <c r="C489" s="8"/>
      <c r="D489" s="8"/>
      <c r="E489" s="8"/>
      <c r="F489" s="8"/>
      <c r="G489" s="8"/>
      <c r="H489" s="8"/>
      <c r="I489" s="9"/>
      <c r="J489" s="9"/>
      <c r="K489" s="10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7"/>
      <c r="B490" s="8"/>
      <c r="C490" s="8"/>
      <c r="D490" s="8"/>
      <c r="E490" s="8"/>
      <c r="F490" s="8"/>
      <c r="G490" s="8"/>
      <c r="H490" s="8"/>
      <c r="I490" s="9"/>
      <c r="J490" s="9"/>
      <c r="K490" s="10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7"/>
      <c r="B491" s="8"/>
      <c r="C491" s="8"/>
      <c r="D491" s="8"/>
      <c r="E491" s="8"/>
      <c r="F491" s="8"/>
      <c r="G491" s="8"/>
      <c r="H491" s="8"/>
      <c r="I491" s="9"/>
      <c r="J491" s="9"/>
      <c r="K491" s="10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7"/>
      <c r="B492" s="8"/>
      <c r="C492" s="8"/>
      <c r="D492" s="8"/>
      <c r="E492" s="8"/>
      <c r="F492" s="8"/>
      <c r="G492" s="8"/>
      <c r="H492" s="8"/>
      <c r="I492" s="9"/>
      <c r="J492" s="9"/>
      <c r="K492" s="10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7"/>
      <c r="B493" s="8"/>
      <c r="C493" s="8"/>
      <c r="D493" s="8"/>
      <c r="E493" s="8"/>
      <c r="F493" s="8"/>
      <c r="G493" s="8"/>
      <c r="H493" s="8"/>
      <c r="I493" s="9"/>
      <c r="J493" s="9"/>
      <c r="K493" s="10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7"/>
      <c r="B494" s="8"/>
      <c r="C494" s="8"/>
      <c r="D494" s="8"/>
      <c r="E494" s="8"/>
      <c r="F494" s="8"/>
      <c r="G494" s="8"/>
      <c r="H494" s="8"/>
      <c r="I494" s="9"/>
      <c r="J494" s="9"/>
      <c r="K494" s="10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7"/>
      <c r="B495" s="8"/>
      <c r="C495" s="8"/>
      <c r="D495" s="8"/>
      <c r="E495" s="8"/>
      <c r="F495" s="8"/>
      <c r="G495" s="8"/>
      <c r="H495" s="8"/>
      <c r="I495" s="9"/>
      <c r="J495" s="9"/>
      <c r="K495" s="10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7"/>
      <c r="B496" s="8"/>
      <c r="C496" s="8"/>
      <c r="D496" s="8"/>
      <c r="E496" s="8"/>
      <c r="F496" s="8"/>
      <c r="G496" s="8"/>
      <c r="H496" s="8"/>
      <c r="I496" s="9"/>
      <c r="J496" s="9"/>
      <c r="K496" s="10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7"/>
      <c r="B497" s="8"/>
      <c r="C497" s="8"/>
      <c r="D497" s="8"/>
      <c r="E497" s="8"/>
      <c r="F497" s="8"/>
      <c r="G497" s="8"/>
      <c r="H497" s="8"/>
      <c r="I497" s="9"/>
      <c r="J497" s="9"/>
      <c r="K497" s="1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7"/>
      <c r="B498" s="8"/>
      <c r="C498" s="8"/>
      <c r="D498" s="8"/>
      <c r="E498" s="8"/>
      <c r="F498" s="8"/>
      <c r="G498" s="8"/>
      <c r="H498" s="8"/>
      <c r="I498" s="9"/>
      <c r="J498" s="9"/>
      <c r="K498" s="1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7"/>
      <c r="B499" s="8"/>
      <c r="C499" s="8"/>
      <c r="D499" s="8"/>
      <c r="E499" s="8"/>
      <c r="F499" s="8"/>
      <c r="G499" s="8"/>
      <c r="H499" s="8"/>
      <c r="I499" s="9"/>
      <c r="J499" s="9"/>
      <c r="K499" s="1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7"/>
      <c r="B500" s="8"/>
      <c r="C500" s="8"/>
      <c r="D500" s="8"/>
      <c r="E500" s="8"/>
      <c r="F500" s="8"/>
      <c r="G500" s="8"/>
      <c r="H500" s="8"/>
      <c r="I500" s="9"/>
      <c r="J500" s="9"/>
      <c r="K500" s="10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7"/>
      <c r="B501" s="8"/>
      <c r="C501" s="8"/>
      <c r="D501" s="8"/>
      <c r="E501" s="8"/>
      <c r="F501" s="8"/>
      <c r="G501" s="8"/>
      <c r="H501" s="8"/>
      <c r="I501" s="9"/>
      <c r="J501" s="9"/>
      <c r="K501" s="10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7"/>
      <c r="B502" s="8"/>
      <c r="C502" s="8"/>
      <c r="D502" s="8"/>
      <c r="E502" s="8"/>
      <c r="F502" s="8"/>
      <c r="G502" s="8"/>
      <c r="H502" s="8"/>
      <c r="I502" s="9"/>
      <c r="J502" s="9"/>
      <c r="K502" s="10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7"/>
      <c r="B503" s="8"/>
      <c r="C503" s="8"/>
      <c r="D503" s="8"/>
      <c r="E503" s="8"/>
      <c r="F503" s="8"/>
      <c r="G503" s="8"/>
      <c r="H503" s="8"/>
      <c r="I503" s="9"/>
      <c r="J503" s="9"/>
      <c r="K503" s="10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7"/>
      <c r="B504" s="8"/>
      <c r="C504" s="8"/>
      <c r="D504" s="8"/>
      <c r="E504" s="8"/>
      <c r="F504" s="8"/>
      <c r="G504" s="8"/>
      <c r="H504" s="8"/>
      <c r="I504" s="9"/>
      <c r="J504" s="9"/>
      <c r="K504" s="10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7"/>
      <c r="B505" s="8"/>
      <c r="C505" s="8"/>
      <c r="D505" s="8"/>
      <c r="E505" s="8"/>
      <c r="F505" s="8"/>
      <c r="G505" s="8"/>
      <c r="H505" s="8"/>
      <c r="I505" s="9"/>
      <c r="J505" s="9"/>
      <c r="K505" s="10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7"/>
      <c r="B506" s="8"/>
      <c r="C506" s="8"/>
      <c r="D506" s="8"/>
      <c r="E506" s="8"/>
      <c r="F506" s="8"/>
      <c r="G506" s="8"/>
      <c r="H506" s="8"/>
      <c r="I506" s="9"/>
      <c r="J506" s="9"/>
      <c r="K506" s="10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7"/>
      <c r="B507" s="8"/>
      <c r="C507" s="8"/>
      <c r="D507" s="8"/>
      <c r="E507" s="8"/>
      <c r="F507" s="8"/>
      <c r="G507" s="8"/>
      <c r="H507" s="8"/>
      <c r="I507" s="9"/>
      <c r="J507" s="9"/>
      <c r="K507" s="10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7"/>
      <c r="B508" s="8"/>
      <c r="C508" s="8"/>
      <c r="D508" s="8"/>
      <c r="E508" s="8"/>
      <c r="F508" s="8"/>
      <c r="G508" s="8"/>
      <c r="H508" s="8"/>
      <c r="I508" s="9"/>
      <c r="J508" s="9"/>
      <c r="K508" s="10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7"/>
      <c r="B509" s="8"/>
      <c r="C509" s="8"/>
      <c r="D509" s="8"/>
      <c r="E509" s="8"/>
      <c r="F509" s="8"/>
      <c r="G509" s="8"/>
      <c r="H509" s="8"/>
      <c r="I509" s="9"/>
      <c r="J509" s="9"/>
      <c r="K509" s="10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7"/>
      <c r="B510" s="8"/>
      <c r="C510" s="8"/>
      <c r="D510" s="8"/>
      <c r="E510" s="8"/>
      <c r="F510" s="8"/>
      <c r="G510" s="8"/>
      <c r="H510" s="8"/>
      <c r="I510" s="9"/>
      <c r="J510" s="9"/>
      <c r="K510" s="1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7"/>
      <c r="B511" s="8"/>
      <c r="C511" s="8"/>
      <c r="D511" s="8"/>
      <c r="E511" s="8"/>
      <c r="F511" s="8"/>
      <c r="G511" s="8"/>
      <c r="H511" s="8"/>
      <c r="I511" s="9"/>
      <c r="J511" s="9"/>
      <c r="K511" s="1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7"/>
      <c r="B512" s="8"/>
      <c r="C512" s="8"/>
      <c r="D512" s="8"/>
      <c r="E512" s="8"/>
      <c r="F512" s="8"/>
      <c r="G512" s="8"/>
      <c r="H512" s="8"/>
      <c r="I512" s="9"/>
      <c r="J512" s="9"/>
      <c r="K512" s="1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7"/>
      <c r="B513" s="8"/>
      <c r="C513" s="8"/>
      <c r="D513" s="8"/>
      <c r="E513" s="8"/>
      <c r="F513" s="8"/>
      <c r="G513" s="8"/>
      <c r="H513" s="8"/>
      <c r="I513" s="9"/>
      <c r="J513" s="9"/>
      <c r="K513" s="10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7"/>
      <c r="B514" s="8"/>
      <c r="C514" s="8"/>
      <c r="D514" s="8"/>
      <c r="E514" s="8"/>
      <c r="F514" s="8"/>
      <c r="G514" s="8"/>
      <c r="H514" s="8"/>
      <c r="I514" s="9"/>
      <c r="J514" s="9"/>
      <c r="K514" s="10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7"/>
      <c r="B515" s="8"/>
      <c r="C515" s="8"/>
      <c r="D515" s="8"/>
      <c r="E515" s="8"/>
      <c r="F515" s="8"/>
      <c r="G515" s="8"/>
      <c r="H515" s="8"/>
      <c r="I515" s="9"/>
      <c r="J515" s="9"/>
      <c r="K515" s="10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7"/>
      <c r="B516" s="8"/>
      <c r="C516" s="8"/>
      <c r="D516" s="8"/>
      <c r="E516" s="8"/>
      <c r="F516" s="8"/>
      <c r="G516" s="8"/>
      <c r="H516" s="8"/>
      <c r="I516" s="9"/>
      <c r="J516" s="9"/>
      <c r="K516" s="10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7"/>
      <c r="B517" s="8"/>
      <c r="C517" s="8"/>
      <c r="D517" s="8"/>
      <c r="E517" s="8"/>
      <c r="F517" s="8"/>
      <c r="G517" s="8"/>
      <c r="H517" s="8"/>
      <c r="I517" s="9"/>
      <c r="J517" s="9"/>
      <c r="K517" s="10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7"/>
      <c r="B518" s="8"/>
      <c r="C518" s="8"/>
      <c r="D518" s="8"/>
      <c r="E518" s="8"/>
      <c r="F518" s="8"/>
      <c r="G518" s="8"/>
      <c r="H518" s="8"/>
      <c r="I518" s="9"/>
      <c r="J518" s="9"/>
      <c r="K518" s="10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7"/>
      <c r="B519" s="8"/>
      <c r="C519" s="8"/>
      <c r="D519" s="8"/>
      <c r="E519" s="8"/>
      <c r="F519" s="8"/>
      <c r="G519" s="8"/>
      <c r="H519" s="8"/>
      <c r="I519" s="9"/>
      <c r="J519" s="9"/>
      <c r="K519" s="10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7"/>
      <c r="B520" s="8"/>
      <c r="C520" s="8"/>
      <c r="D520" s="8"/>
      <c r="E520" s="8"/>
      <c r="F520" s="8"/>
      <c r="G520" s="8"/>
      <c r="H520" s="8"/>
      <c r="I520" s="9"/>
      <c r="J520" s="9"/>
      <c r="K520" s="10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7"/>
      <c r="B521" s="8"/>
      <c r="C521" s="8"/>
      <c r="D521" s="8"/>
      <c r="E521" s="8"/>
      <c r="F521" s="8"/>
      <c r="G521" s="8"/>
      <c r="H521" s="8"/>
      <c r="I521" s="9"/>
      <c r="J521" s="9"/>
      <c r="K521" s="10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7"/>
      <c r="B522" s="8"/>
      <c r="C522" s="8"/>
      <c r="D522" s="8"/>
      <c r="E522" s="8"/>
      <c r="F522" s="8"/>
      <c r="G522" s="8"/>
      <c r="H522" s="8"/>
      <c r="I522" s="9"/>
      <c r="J522" s="9"/>
      <c r="K522" s="10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7"/>
      <c r="B523" s="8"/>
      <c r="C523" s="8"/>
      <c r="D523" s="8"/>
      <c r="E523" s="8"/>
      <c r="F523" s="8"/>
      <c r="G523" s="8"/>
      <c r="H523" s="8"/>
      <c r="I523" s="9"/>
      <c r="J523" s="9"/>
      <c r="K523" s="10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7"/>
      <c r="B524" s="8"/>
      <c r="C524" s="8"/>
      <c r="D524" s="8"/>
      <c r="E524" s="8"/>
      <c r="F524" s="8"/>
      <c r="G524" s="8"/>
      <c r="H524" s="8"/>
      <c r="I524" s="9"/>
      <c r="J524" s="9"/>
      <c r="K524" s="10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7"/>
      <c r="B525" s="8"/>
      <c r="C525" s="8"/>
      <c r="D525" s="8"/>
      <c r="E525" s="8"/>
      <c r="F525" s="8"/>
      <c r="G525" s="8"/>
      <c r="H525" s="8"/>
      <c r="I525" s="9"/>
      <c r="J525" s="9"/>
      <c r="K525" s="10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7"/>
      <c r="B526" s="8"/>
      <c r="C526" s="8"/>
      <c r="D526" s="8"/>
      <c r="E526" s="8"/>
      <c r="F526" s="8"/>
      <c r="G526" s="8"/>
      <c r="H526" s="8"/>
      <c r="I526" s="9"/>
      <c r="J526" s="9"/>
      <c r="K526" s="10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7"/>
      <c r="B527" s="8"/>
      <c r="C527" s="8"/>
      <c r="D527" s="8"/>
      <c r="E527" s="8"/>
      <c r="F527" s="8"/>
      <c r="G527" s="8"/>
      <c r="H527" s="8"/>
      <c r="I527" s="9"/>
      <c r="J527" s="9"/>
      <c r="K527" s="10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7"/>
      <c r="B528" s="8"/>
      <c r="C528" s="8"/>
      <c r="D528" s="8"/>
      <c r="E528" s="8"/>
      <c r="F528" s="8"/>
      <c r="G528" s="8"/>
      <c r="H528" s="8"/>
      <c r="I528" s="9"/>
      <c r="J528" s="9"/>
      <c r="K528" s="10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7"/>
      <c r="B529" s="8"/>
      <c r="C529" s="8"/>
      <c r="D529" s="8"/>
      <c r="E529" s="8"/>
      <c r="F529" s="8"/>
      <c r="G529" s="8"/>
      <c r="H529" s="8"/>
      <c r="I529" s="9"/>
      <c r="J529" s="9"/>
      <c r="K529" s="10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7"/>
      <c r="B530" s="8"/>
      <c r="C530" s="8"/>
      <c r="D530" s="8"/>
      <c r="E530" s="8"/>
      <c r="F530" s="8"/>
      <c r="G530" s="8"/>
      <c r="H530" s="8"/>
      <c r="I530" s="9"/>
      <c r="J530" s="9"/>
      <c r="K530" s="10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7"/>
      <c r="B531" s="8"/>
      <c r="C531" s="8"/>
      <c r="D531" s="8"/>
      <c r="E531" s="8"/>
      <c r="F531" s="8"/>
      <c r="G531" s="8"/>
      <c r="H531" s="8"/>
      <c r="I531" s="9"/>
      <c r="J531" s="9"/>
      <c r="K531" s="10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7"/>
      <c r="B532" s="8"/>
      <c r="C532" s="8"/>
      <c r="D532" s="8"/>
      <c r="E532" s="8"/>
      <c r="F532" s="8"/>
      <c r="G532" s="8"/>
      <c r="H532" s="8"/>
      <c r="I532" s="9"/>
      <c r="J532" s="9"/>
      <c r="K532" s="10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7"/>
      <c r="B533" s="8"/>
      <c r="C533" s="8"/>
      <c r="D533" s="8"/>
      <c r="E533" s="8"/>
      <c r="F533" s="8"/>
      <c r="G533" s="8"/>
      <c r="H533" s="8"/>
      <c r="I533" s="9"/>
      <c r="J533" s="9"/>
      <c r="K533" s="10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7"/>
      <c r="B534" s="8"/>
      <c r="C534" s="8"/>
      <c r="D534" s="8"/>
      <c r="E534" s="8"/>
      <c r="F534" s="8"/>
      <c r="G534" s="8"/>
      <c r="H534" s="8"/>
      <c r="I534" s="9"/>
      <c r="J534" s="9"/>
      <c r="K534" s="10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7"/>
      <c r="B535" s="8"/>
      <c r="C535" s="8"/>
      <c r="D535" s="8"/>
      <c r="E535" s="8"/>
      <c r="F535" s="8"/>
      <c r="G535" s="8"/>
      <c r="H535" s="8"/>
      <c r="I535" s="9"/>
      <c r="J535" s="9"/>
      <c r="K535" s="1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7"/>
      <c r="B536" s="8"/>
      <c r="C536" s="8"/>
      <c r="D536" s="8"/>
      <c r="E536" s="8"/>
      <c r="F536" s="8"/>
      <c r="G536" s="8"/>
      <c r="H536" s="8"/>
      <c r="I536" s="9"/>
      <c r="J536" s="9"/>
      <c r="K536" s="1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7"/>
      <c r="B537" s="8"/>
      <c r="C537" s="8"/>
      <c r="D537" s="8"/>
      <c r="E537" s="8"/>
      <c r="F537" s="8"/>
      <c r="G537" s="8"/>
      <c r="H537" s="8"/>
      <c r="I537" s="9"/>
      <c r="J537" s="9"/>
      <c r="K537" s="1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7"/>
      <c r="B538" s="8"/>
      <c r="C538" s="8"/>
      <c r="D538" s="8"/>
      <c r="E538" s="8"/>
      <c r="F538" s="8"/>
      <c r="G538" s="8"/>
      <c r="H538" s="8"/>
      <c r="I538" s="9"/>
      <c r="J538" s="9"/>
      <c r="K538" s="1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7"/>
      <c r="B539" s="8"/>
      <c r="C539" s="8"/>
      <c r="D539" s="8"/>
      <c r="E539" s="8"/>
      <c r="F539" s="8"/>
      <c r="G539" s="8"/>
      <c r="H539" s="8"/>
      <c r="I539" s="9"/>
      <c r="J539" s="9"/>
      <c r="K539" s="1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7"/>
      <c r="B540" s="8"/>
      <c r="C540" s="8"/>
      <c r="D540" s="8"/>
      <c r="E540" s="8"/>
      <c r="F540" s="8"/>
      <c r="G540" s="8"/>
      <c r="H540" s="8"/>
      <c r="I540" s="9"/>
      <c r="J540" s="9"/>
      <c r="K540" s="1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7"/>
      <c r="B541" s="8"/>
      <c r="C541" s="8"/>
      <c r="D541" s="8"/>
      <c r="E541" s="8"/>
      <c r="F541" s="8"/>
      <c r="G541" s="8"/>
      <c r="H541" s="8"/>
      <c r="I541" s="9"/>
      <c r="J541" s="9"/>
      <c r="K541" s="1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7"/>
      <c r="B542" s="8"/>
      <c r="C542" s="8"/>
      <c r="D542" s="8"/>
      <c r="E542" s="8"/>
      <c r="F542" s="8"/>
      <c r="G542" s="8"/>
      <c r="H542" s="8"/>
      <c r="I542" s="9"/>
      <c r="J542" s="9"/>
      <c r="K542" s="1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7"/>
      <c r="B543" s="8"/>
      <c r="C543" s="8"/>
      <c r="D543" s="8"/>
      <c r="E543" s="8"/>
      <c r="F543" s="8"/>
      <c r="G543" s="8"/>
      <c r="H543" s="8"/>
      <c r="I543" s="9"/>
      <c r="J543" s="9"/>
      <c r="K543" s="1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7"/>
      <c r="B544" s="8"/>
      <c r="C544" s="8"/>
      <c r="D544" s="8"/>
      <c r="E544" s="8"/>
      <c r="F544" s="8"/>
      <c r="G544" s="8"/>
      <c r="H544" s="8"/>
      <c r="I544" s="9"/>
      <c r="J544" s="9"/>
      <c r="K544" s="1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7"/>
      <c r="B545" s="8"/>
      <c r="C545" s="8"/>
      <c r="D545" s="8"/>
      <c r="E545" s="8"/>
      <c r="F545" s="8"/>
      <c r="G545" s="8"/>
      <c r="H545" s="8"/>
      <c r="I545" s="9"/>
      <c r="J545" s="9"/>
      <c r="K545" s="1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7"/>
      <c r="B546" s="8"/>
      <c r="C546" s="8"/>
      <c r="D546" s="8"/>
      <c r="E546" s="8"/>
      <c r="F546" s="8"/>
      <c r="G546" s="8"/>
      <c r="H546" s="8"/>
      <c r="I546" s="9"/>
      <c r="J546" s="9"/>
      <c r="K546" s="1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7"/>
      <c r="B547" s="8"/>
      <c r="C547" s="8"/>
      <c r="D547" s="8"/>
      <c r="E547" s="8"/>
      <c r="F547" s="8"/>
      <c r="G547" s="8"/>
      <c r="H547" s="8"/>
      <c r="I547" s="9"/>
      <c r="J547" s="9"/>
      <c r="K547" s="1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7"/>
      <c r="B548" s="8"/>
      <c r="C548" s="8"/>
      <c r="D548" s="8"/>
      <c r="E548" s="8"/>
      <c r="F548" s="8"/>
      <c r="G548" s="8"/>
      <c r="H548" s="8"/>
      <c r="I548" s="9"/>
      <c r="J548" s="9"/>
      <c r="K548" s="1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7"/>
      <c r="B549" s="8"/>
      <c r="C549" s="8"/>
      <c r="D549" s="8"/>
      <c r="E549" s="8"/>
      <c r="F549" s="8"/>
      <c r="G549" s="8"/>
      <c r="H549" s="8"/>
      <c r="I549" s="9"/>
      <c r="J549" s="9"/>
      <c r="K549" s="1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7"/>
      <c r="B550" s="8"/>
      <c r="C550" s="8"/>
      <c r="D550" s="8"/>
      <c r="E550" s="8"/>
      <c r="F550" s="8"/>
      <c r="G550" s="8"/>
      <c r="H550" s="8"/>
      <c r="I550" s="9"/>
      <c r="J550" s="9"/>
      <c r="K550" s="1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7"/>
      <c r="B551" s="8"/>
      <c r="C551" s="8"/>
      <c r="D551" s="8"/>
      <c r="E551" s="8"/>
      <c r="F551" s="8"/>
      <c r="G551" s="8"/>
      <c r="H551" s="8"/>
      <c r="I551" s="9"/>
      <c r="J551" s="9"/>
      <c r="K551" s="10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7"/>
      <c r="B552" s="8"/>
      <c r="C552" s="8"/>
      <c r="D552" s="8"/>
      <c r="E552" s="8"/>
      <c r="F552" s="8"/>
      <c r="G552" s="8"/>
      <c r="H552" s="8"/>
      <c r="I552" s="9"/>
      <c r="J552" s="9"/>
      <c r="K552" s="10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7"/>
      <c r="B553" s="8"/>
      <c r="C553" s="8"/>
      <c r="D553" s="8"/>
      <c r="E553" s="8"/>
      <c r="F553" s="8"/>
      <c r="G553" s="8"/>
      <c r="H553" s="8"/>
      <c r="I553" s="9"/>
      <c r="J553" s="9"/>
      <c r="K553" s="10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7"/>
      <c r="B554" s="8"/>
      <c r="C554" s="8"/>
      <c r="D554" s="8"/>
      <c r="E554" s="8"/>
      <c r="F554" s="8"/>
      <c r="G554" s="8"/>
      <c r="H554" s="8"/>
      <c r="I554" s="9"/>
      <c r="J554" s="9"/>
      <c r="K554" s="10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7"/>
      <c r="B555" s="8"/>
      <c r="C555" s="8"/>
      <c r="D555" s="8"/>
      <c r="E555" s="8"/>
      <c r="F555" s="8"/>
      <c r="G555" s="8"/>
      <c r="H555" s="8"/>
      <c r="I555" s="9"/>
      <c r="J555" s="9"/>
      <c r="K555" s="10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7"/>
      <c r="B556" s="8"/>
      <c r="C556" s="8"/>
      <c r="D556" s="8"/>
      <c r="E556" s="8"/>
      <c r="F556" s="8"/>
      <c r="G556" s="8"/>
      <c r="H556" s="8"/>
      <c r="I556" s="9"/>
      <c r="J556" s="9"/>
      <c r="K556" s="10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7"/>
      <c r="B557" s="8"/>
      <c r="C557" s="8"/>
      <c r="D557" s="8"/>
      <c r="E557" s="8"/>
      <c r="F557" s="8"/>
      <c r="G557" s="8"/>
      <c r="H557" s="8"/>
      <c r="I557" s="9"/>
      <c r="J557" s="9"/>
      <c r="K557" s="10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7"/>
      <c r="B558" s="8"/>
      <c r="C558" s="8"/>
      <c r="D558" s="8"/>
      <c r="E558" s="8"/>
      <c r="F558" s="8"/>
      <c r="G558" s="8"/>
      <c r="H558" s="8"/>
      <c r="I558" s="9"/>
      <c r="J558" s="9"/>
      <c r="K558" s="10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7"/>
      <c r="B559" s="8"/>
      <c r="C559" s="8"/>
      <c r="D559" s="8"/>
      <c r="E559" s="8"/>
      <c r="F559" s="8"/>
      <c r="G559" s="8"/>
      <c r="H559" s="8"/>
      <c r="I559" s="9"/>
      <c r="J559" s="9"/>
      <c r="K559" s="10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7"/>
      <c r="B560" s="8"/>
      <c r="C560" s="8"/>
      <c r="D560" s="8"/>
      <c r="E560" s="8"/>
      <c r="F560" s="8"/>
      <c r="G560" s="8"/>
      <c r="H560" s="8"/>
      <c r="I560" s="9"/>
      <c r="J560" s="9"/>
      <c r="K560" s="10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7"/>
      <c r="B561" s="8"/>
      <c r="C561" s="8"/>
      <c r="D561" s="8"/>
      <c r="E561" s="8"/>
      <c r="F561" s="8"/>
      <c r="G561" s="8"/>
      <c r="H561" s="8"/>
      <c r="I561" s="9"/>
      <c r="J561" s="9"/>
      <c r="K561" s="10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7"/>
      <c r="B562" s="8"/>
      <c r="C562" s="8"/>
      <c r="D562" s="8"/>
      <c r="E562" s="8"/>
      <c r="F562" s="8"/>
      <c r="G562" s="8"/>
      <c r="H562" s="8"/>
      <c r="I562" s="9"/>
      <c r="J562" s="9"/>
      <c r="K562" s="10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7"/>
      <c r="B563" s="8"/>
      <c r="C563" s="8"/>
      <c r="D563" s="8"/>
      <c r="E563" s="8"/>
      <c r="F563" s="8"/>
      <c r="G563" s="8"/>
      <c r="H563" s="8"/>
      <c r="I563" s="9"/>
      <c r="J563" s="9"/>
      <c r="K563" s="10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7"/>
      <c r="B564" s="8"/>
      <c r="C564" s="8"/>
      <c r="D564" s="8"/>
      <c r="E564" s="8"/>
      <c r="F564" s="8"/>
      <c r="G564" s="8"/>
      <c r="H564" s="8"/>
      <c r="I564" s="9"/>
      <c r="J564" s="9"/>
      <c r="K564" s="10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7"/>
      <c r="B565" s="8"/>
      <c r="C565" s="8"/>
      <c r="D565" s="8"/>
      <c r="E565" s="8"/>
      <c r="F565" s="8"/>
      <c r="G565" s="8"/>
      <c r="H565" s="8"/>
      <c r="I565" s="9"/>
      <c r="J565" s="9"/>
      <c r="K565" s="10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7"/>
      <c r="B566" s="8"/>
      <c r="C566" s="8"/>
      <c r="D566" s="8"/>
      <c r="E566" s="8"/>
      <c r="F566" s="8"/>
      <c r="G566" s="8"/>
      <c r="H566" s="8"/>
      <c r="I566" s="9"/>
      <c r="J566" s="9"/>
      <c r="K566" s="10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7"/>
      <c r="B567" s="8"/>
      <c r="C567" s="8"/>
      <c r="D567" s="8"/>
      <c r="E567" s="8"/>
      <c r="F567" s="8"/>
      <c r="G567" s="8"/>
      <c r="H567" s="8"/>
      <c r="I567" s="9"/>
      <c r="J567" s="9"/>
      <c r="K567" s="10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7"/>
      <c r="B568" s="8"/>
      <c r="C568" s="8"/>
      <c r="D568" s="8"/>
      <c r="E568" s="8"/>
      <c r="F568" s="8"/>
      <c r="G568" s="8"/>
      <c r="H568" s="8"/>
      <c r="I568" s="9"/>
      <c r="J568" s="9"/>
      <c r="K568" s="10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7"/>
      <c r="B569" s="8"/>
      <c r="C569" s="8"/>
      <c r="D569" s="8"/>
      <c r="E569" s="8"/>
      <c r="F569" s="8"/>
      <c r="G569" s="8"/>
      <c r="H569" s="8"/>
      <c r="I569" s="9"/>
      <c r="J569" s="9"/>
      <c r="K569" s="10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7"/>
      <c r="B570" s="8"/>
      <c r="C570" s="8"/>
      <c r="D570" s="8"/>
      <c r="E570" s="8"/>
      <c r="F570" s="8"/>
      <c r="G570" s="8"/>
      <c r="H570" s="8"/>
      <c r="I570" s="9"/>
      <c r="J570" s="9"/>
      <c r="K570" s="10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7"/>
      <c r="B571" s="8"/>
      <c r="C571" s="8"/>
      <c r="D571" s="8"/>
      <c r="E571" s="8"/>
      <c r="F571" s="8"/>
      <c r="G571" s="8"/>
      <c r="H571" s="8"/>
      <c r="I571" s="9"/>
      <c r="J571" s="9"/>
      <c r="K571" s="10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7"/>
      <c r="B572" s="8"/>
      <c r="C572" s="8"/>
      <c r="D572" s="8"/>
      <c r="E572" s="8"/>
      <c r="F572" s="8"/>
      <c r="G572" s="8"/>
      <c r="H572" s="8"/>
      <c r="I572" s="9"/>
      <c r="J572" s="9"/>
      <c r="K572" s="10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7"/>
      <c r="B573" s="8"/>
      <c r="C573" s="8"/>
      <c r="D573" s="8"/>
      <c r="E573" s="8"/>
      <c r="F573" s="8"/>
      <c r="G573" s="8"/>
      <c r="H573" s="8"/>
      <c r="I573" s="9"/>
      <c r="J573" s="9"/>
      <c r="K573" s="10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7"/>
      <c r="B574" s="8"/>
      <c r="C574" s="8"/>
      <c r="D574" s="8"/>
      <c r="E574" s="8"/>
      <c r="F574" s="8"/>
      <c r="G574" s="8"/>
      <c r="H574" s="8"/>
      <c r="I574" s="9"/>
      <c r="J574" s="9"/>
      <c r="K574" s="10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7"/>
      <c r="B575" s="8"/>
      <c r="C575" s="8"/>
      <c r="D575" s="8"/>
      <c r="E575" s="8"/>
      <c r="F575" s="8"/>
      <c r="G575" s="8"/>
      <c r="H575" s="8"/>
      <c r="I575" s="9"/>
      <c r="J575" s="9"/>
      <c r="K575" s="10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7"/>
      <c r="B576" s="8"/>
      <c r="C576" s="8"/>
      <c r="D576" s="8"/>
      <c r="E576" s="8"/>
      <c r="F576" s="8"/>
      <c r="G576" s="8"/>
      <c r="H576" s="8"/>
      <c r="I576" s="9"/>
      <c r="J576" s="9"/>
      <c r="K576" s="10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7"/>
      <c r="B577" s="8"/>
      <c r="C577" s="8"/>
      <c r="D577" s="8"/>
      <c r="E577" s="8"/>
      <c r="F577" s="8"/>
      <c r="G577" s="8"/>
      <c r="H577" s="8"/>
      <c r="I577" s="9"/>
      <c r="J577" s="9"/>
      <c r="K577" s="10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7"/>
      <c r="B578" s="8"/>
      <c r="C578" s="8"/>
      <c r="D578" s="8"/>
      <c r="E578" s="8"/>
      <c r="F578" s="8"/>
      <c r="G578" s="8"/>
      <c r="H578" s="8"/>
      <c r="I578" s="9"/>
      <c r="J578" s="9"/>
      <c r="K578" s="10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7"/>
      <c r="B579" s="8"/>
      <c r="C579" s="8"/>
      <c r="D579" s="8"/>
      <c r="E579" s="8"/>
      <c r="F579" s="8"/>
      <c r="G579" s="8"/>
      <c r="H579" s="8"/>
      <c r="I579" s="9"/>
      <c r="J579" s="9"/>
      <c r="K579" s="10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7"/>
      <c r="B580" s="8"/>
      <c r="C580" s="8"/>
      <c r="D580" s="8"/>
      <c r="E580" s="8"/>
      <c r="F580" s="8"/>
      <c r="G580" s="8"/>
      <c r="H580" s="8"/>
      <c r="I580" s="9"/>
      <c r="J580" s="9"/>
      <c r="K580" s="10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7"/>
      <c r="B581" s="8"/>
      <c r="C581" s="8"/>
      <c r="D581" s="8"/>
      <c r="E581" s="8"/>
      <c r="F581" s="8"/>
      <c r="G581" s="8"/>
      <c r="H581" s="8"/>
      <c r="I581" s="9"/>
      <c r="J581" s="9"/>
      <c r="K581" s="10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7"/>
      <c r="B582" s="8"/>
      <c r="C582" s="8"/>
      <c r="D582" s="8"/>
      <c r="E582" s="8"/>
      <c r="F582" s="8"/>
      <c r="G582" s="8"/>
      <c r="H582" s="8"/>
      <c r="I582" s="9"/>
      <c r="J582" s="9"/>
      <c r="K582" s="10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7"/>
      <c r="B583" s="8"/>
      <c r="C583" s="8"/>
      <c r="D583" s="8"/>
      <c r="E583" s="8"/>
      <c r="F583" s="8"/>
      <c r="G583" s="8"/>
      <c r="H583" s="8"/>
      <c r="I583" s="9"/>
      <c r="J583" s="9"/>
      <c r="K583" s="10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7"/>
      <c r="B584" s="8"/>
      <c r="C584" s="8"/>
      <c r="D584" s="8"/>
      <c r="E584" s="8"/>
      <c r="F584" s="8"/>
      <c r="G584" s="8"/>
      <c r="H584" s="8"/>
      <c r="I584" s="9"/>
      <c r="J584" s="9"/>
      <c r="K584" s="10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11"/>
      <c r="B585" s="12"/>
      <c r="C585" s="12"/>
      <c r="D585" s="12"/>
      <c r="E585" s="12"/>
      <c r="F585" s="12"/>
      <c r="G585" s="12"/>
      <c r="H585" s="12"/>
      <c r="I585" s="14"/>
      <c r="J585" s="14"/>
      <c r="K585" s="10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7"/>
      <c r="B586" s="8"/>
      <c r="C586" s="8"/>
      <c r="D586" s="8"/>
      <c r="E586" s="8"/>
      <c r="F586" s="8"/>
      <c r="G586" s="8"/>
      <c r="H586" s="8"/>
      <c r="I586" s="9"/>
      <c r="J586" s="9"/>
      <c r="K586" s="10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7"/>
      <c r="B587" s="8"/>
      <c r="C587" s="8"/>
      <c r="D587" s="8"/>
      <c r="E587" s="8"/>
      <c r="F587" s="8"/>
      <c r="G587" s="8"/>
      <c r="H587" s="8"/>
      <c r="I587" s="9"/>
      <c r="J587" s="9"/>
      <c r="K587" s="10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7"/>
      <c r="B588" s="8"/>
      <c r="C588" s="8"/>
      <c r="D588" s="8"/>
      <c r="E588" s="8"/>
      <c r="F588" s="8"/>
      <c r="G588" s="8"/>
      <c r="H588" s="8"/>
      <c r="I588" s="9"/>
      <c r="J588" s="9"/>
      <c r="K588" s="10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7"/>
      <c r="B589" s="8"/>
      <c r="C589" s="8"/>
      <c r="D589" s="8"/>
      <c r="E589" s="8"/>
      <c r="F589" s="8"/>
      <c r="G589" s="8"/>
      <c r="H589" s="8"/>
      <c r="I589" s="9"/>
      <c r="J589" s="9"/>
      <c r="K589" s="10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7"/>
      <c r="B590" s="8"/>
      <c r="C590" s="8"/>
      <c r="D590" s="8"/>
      <c r="E590" s="8"/>
      <c r="F590" s="8"/>
      <c r="G590" s="8"/>
      <c r="H590" s="8"/>
      <c r="I590" s="9"/>
      <c r="J590" s="9"/>
      <c r="K590" s="10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7"/>
      <c r="B591" s="8"/>
      <c r="C591" s="8"/>
      <c r="D591" s="8"/>
      <c r="E591" s="8"/>
      <c r="F591" s="8"/>
      <c r="G591" s="8"/>
      <c r="H591" s="8"/>
      <c r="I591" s="9"/>
      <c r="J591" s="9"/>
      <c r="K591" s="10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7"/>
      <c r="B592" s="8"/>
      <c r="C592" s="8"/>
      <c r="D592" s="8"/>
      <c r="E592" s="8"/>
      <c r="F592" s="8"/>
      <c r="G592" s="8"/>
      <c r="H592" s="8"/>
      <c r="I592" s="9"/>
      <c r="J592" s="9"/>
      <c r="K592" s="10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7"/>
      <c r="B593" s="8"/>
      <c r="C593" s="8"/>
      <c r="D593" s="8"/>
      <c r="E593" s="8"/>
      <c r="F593" s="8"/>
      <c r="G593" s="8"/>
      <c r="H593" s="8"/>
      <c r="I593" s="9"/>
      <c r="J593" s="9"/>
      <c r="K593" s="10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7"/>
      <c r="B594" s="8"/>
      <c r="C594" s="8"/>
      <c r="D594" s="8"/>
      <c r="E594" s="8"/>
      <c r="F594" s="8"/>
      <c r="G594" s="8"/>
      <c r="H594" s="8"/>
      <c r="I594" s="9"/>
      <c r="J594" s="9"/>
      <c r="K594" s="10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7"/>
      <c r="B595" s="8"/>
      <c r="C595" s="8"/>
      <c r="D595" s="8"/>
      <c r="E595" s="8"/>
      <c r="F595" s="8"/>
      <c r="G595" s="8"/>
      <c r="H595" s="8"/>
      <c r="I595" s="9"/>
      <c r="J595" s="9"/>
      <c r="K595" s="10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11"/>
      <c r="B596" s="12"/>
      <c r="C596" s="12"/>
      <c r="D596" s="12"/>
      <c r="E596" s="12"/>
      <c r="F596" s="12"/>
      <c r="G596" s="12"/>
      <c r="H596" s="12"/>
      <c r="I596" s="14"/>
      <c r="J596" s="14"/>
      <c r="K596" s="10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7"/>
      <c r="B597" s="8"/>
      <c r="C597" s="8"/>
      <c r="D597" s="8"/>
      <c r="E597" s="8"/>
      <c r="F597" s="8"/>
      <c r="G597" s="8"/>
      <c r="H597" s="8"/>
      <c r="I597" s="9"/>
      <c r="J597" s="9"/>
      <c r="K597" s="10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7"/>
      <c r="B598" s="8"/>
      <c r="C598" s="8"/>
      <c r="D598" s="8"/>
      <c r="E598" s="8"/>
      <c r="F598" s="8"/>
      <c r="G598" s="8"/>
      <c r="H598" s="8"/>
      <c r="I598" s="9"/>
      <c r="J598" s="9"/>
      <c r="K598" s="10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7"/>
      <c r="B599" s="8"/>
      <c r="C599" s="8"/>
      <c r="D599" s="8"/>
      <c r="E599" s="8"/>
      <c r="F599" s="8"/>
      <c r="G599" s="8"/>
      <c r="H599" s="8"/>
      <c r="I599" s="9"/>
      <c r="J599" s="9"/>
      <c r="K599" s="10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7"/>
      <c r="B600" s="8"/>
      <c r="C600" s="8"/>
      <c r="D600" s="8"/>
      <c r="E600" s="8"/>
      <c r="F600" s="8"/>
      <c r="G600" s="8"/>
      <c r="H600" s="8"/>
      <c r="I600" s="9"/>
      <c r="J600" s="9"/>
      <c r="K600" s="10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7"/>
      <c r="B601" s="8"/>
      <c r="C601" s="8"/>
      <c r="D601" s="8"/>
      <c r="E601" s="8"/>
      <c r="F601" s="8"/>
      <c r="G601" s="8"/>
      <c r="H601" s="8"/>
      <c r="I601" s="9"/>
      <c r="J601" s="9"/>
      <c r="K601" s="10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7"/>
      <c r="B602" s="8"/>
      <c r="C602" s="8"/>
      <c r="D602" s="8"/>
      <c r="E602" s="8"/>
      <c r="F602" s="8"/>
      <c r="G602" s="8"/>
      <c r="H602" s="8"/>
      <c r="I602" s="9"/>
      <c r="J602" s="9"/>
      <c r="K602" s="10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7"/>
      <c r="B603" s="8"/>
      <c r="C603" s="8"/>
      <c r="D603" s="8"/>
      <c r="E603" s="8"/>
      <c r="F603" s="8"/>
      <c r="G603" s="8"/>
      <c r="H603" s="8"/>
      <c r="I603" s="9"/>
      <c r="J603" s="9"/>
      <c r="K603" s="10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7"/>
      <c r="B604" s="8"/>
      <c r="C604" s="8"/>
      <c r="D604" s="8"/>
      <c r="E604" s="8"/>
      <c r="F604" s="8"/>
      <c r="G604" s="8"/>
      <c r="H604" s="8"/>
      <c r="I604" s="9"/>
      <c r="J604" s="9"/>
      <c r="K604" s="10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7"/>
      <c r="B605" s="8"/>
      <c r="C605" s="8"/>
      <c r="D605" s="8"/>
      <c r="E605" s="8"/>
      <c r="F605" s="8"/>
      <c r="G605" s="8"/>
      <c r="H605" s="8"/>
      <c r="I605" s="9"/>
      <c r="J605" s="9"/>
      <c r="K605" s="10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7"/>
      <c r="B606" s="8"/>
      <c r="C606" s="8"/>
      <c r="D606" s="8"/>
      <c r="E606" s="8"/>
      <c r="F606" s="8"/>
      <c r="G606" s="8"/>
      <c r="H606" s="8"/>
      <c r="I606" s="9"/>
      <c r="J606" s="9"/>
      <c r="K606" s="10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7"/>
      <c r="B607" s="8"/>
      <c r="C607" s="8"/>
      <c r="D607" s="8"/>
      <c r="E607" s="8"/>
      <c r="F607" s="8"/>
      <c r="G607" s="8"/>
      <c r="H607" s="8"/>
      <c r="I607" s="9"/>
      <c r="J607" s="9"/>
      <c r="K607" s="10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7"/>
      <c r="B608" s="8"/>
      <c r="C608" s="8"/>
      <c r="D608" s="8"/>
      <c r="E608" s="8"/>
      <c r="F608" s="8"/>
      <c r="G608" s="8"/>
      <c r="H608" s="8"/>
      <c r="I608" s="9"/>
      <c r="J608" s="9"/>
      <c r="K608" s="10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7"/>
      <c r="B609" s="8"/>
      <c r="C609" s="8"/>
      <c r="D609" s="8"/>
      <c r="E609" s="8"/>
      <c r="F609" s="8"/>
      <c r="G609" s="8"/>
      <c r="H609" s="8"/>
      <c r="I609" s="9"/>
      <c r="J609" s="9"/>
      <c r="K609" s="10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7"/>
      <c r="B610" s="8"/>
      <c r="C610" s="8"/>
      <c r="D610" s="8"/>
      <c r="E610" s="8"/>
      <c r="F610" s="8"/>
      <c r="G610" s="8"/>
      <c r="H610" s="8"/>
      <c r="I610" s="9"/>
      <c r="J610" s="9"/>
      <c r="K610" s="10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7"/>
      <c r="B611" s="8"/>
      <c r="C611" s="8"/>
      <c r="D611" s="8"/>
      <c r="E611" s="8"/>
      <c r="F611" s="8"/>
      <c r="G611" s="8"/>
      <c r="H611" s="8"/>
      <c r="I611" s="9"/>
      <c r="J611" s="9"/>
      <c r="K611" s="10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7"/>
      <c r="B612" s="8"/>
      <c r="C612" s="8"/>
      <c r="D612" s="8"/>
      <c r="E612" s="8"/>
      <c r="F612" s="8"/>
      <c r="G612" s="8"/>
      <c r="H612" s="8"/>
      <c r="I612" s="9"/>
      <c r="J612" s="9"/>
      <c r="K612" s="10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7"/>
      <c r="B613" s="8"/>
      <c r="C613" s="8"/>
      <c r="D613" s="8"/>
      <c r="E613" s="8"/>
      <c r="F613" s="8"/>
      <c r="G613" s="8"/>
      <c r="H613" s="8"/>
      <c r="I613" s="9"/>
      <c r="J613" s="9"/>
      <c r="K613" s="10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7"/>
      <c r="B614" s="8"/>
      <c r="C614" s="8"/>
      <c r="D614" s="8"/>
      <c r="E614" s="8"/>
      <c r="F614" s="8"/>
      <c r="G614" s="8"/>
      <c r="H614" s="8"/>
      <c r="I614" s="9"/>
      <c r="J614" s="9"/>
      <c r="K614" s="10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7"/>
      <c r="B615" s="8"/>
      <c r="C615" s="8"/>
      <c r="D615" s="8"/>
      <c r="E615" s="8"/>
      <c r="F615" s="8"/>
      <c r="G615" s="8"/>
      <c r="H615" s="8"/>
      <c r="I615" s="9"/>
      <c r="J615" s="9"/>
      <c r="K615" s="10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7"/>
      <c r="B616" s="8"/>
      <c r="C616" s="8"/>
      <c r="D616" s="8"/>
      <c r="E616" s="8"/>
      <c r="F616" s="8"/>
      <c r="G616" s="8"/>
      <c r="H616" s="8"/>
      <c r="I616" s="9"/>
      <c r="J616" s="9"/>
      <c r="K616" s="10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7"/>
      <c r="B617" s="8"/>
      <c r="C617" s="8"/>
      <c r="D617" s="8"/>
      <c r="E617" s="8"/>
      <c r="F617" s="8"/>
      <c r="G617" s="8"/>
      <c r="H617" s="8"/>
      <c r="I617" s="9"/>
      <c r="J617" s="9"/>
      <c r="K617" s="10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7"/>
      <c r="B618" s="8"/>
      <c r="C618" s="8"/>
      <c r="D618" s="8"/>
      <c r="E618" s="8"/>
      <c r="F618" s="8"/>
      <c r="G618" s="8"/>
      <c r="H618" s="8"/>
      <c r="I618" s="9"/>
      <c r="J618" s="9"/>
      <c r="K618" s="10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7"/>
      <c r="B619" s="8"/>
      <c r="C619" s="8"/>
      <c r="D619" s="8"/>
      <c r="E619" s="8"/>
      <c r="F619" s="8"/>
      <c r="G619" s="8"/>
      <c r="H619" s="8"/>
      <c r="I619" s="9"/>
      <c r="J619" s="9"/>
      <c r="K619" s="10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7"/>
      <c r="B620" s="8"/>
      <c r="C620" s="8"/>
      <c r="D620" s="8"/>
      <c r="E620" s="8"/>
      <c r="F620" s="8"/>
      <c r="G620" s="8"/>
      <c r="H620" s="8"/>
      <c r="I620" s="9"/>
      <c r="J620" s="9"/>
      <c r="K620" s="10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7"/>
      <c r="B621" s="8"/>
      <c r="C621" s="8"/>
      <c r="D621" s="8"/>
      <c r="E621" s="8"/>
      <c r="F621" s="8"/>
      <c r="G621" s="8"/>
      <c r="H621" s="8"/>
      <c r="I621" s="9"/>
      <c r="J621" s="9"/>
      <c r="K621" s="10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7"/>
      <c r="B622" s="8"/>
      <c r="C622" s="8"/>
      <c r="D622" s="8"/>
      <c r="E622" s="8"/>
      <c r="F622" s="8"/>
      <c r="G622" s="8"/>
      <c r="H622" s="8"/>
      <c r="I622" s="9"/>
      <c r="J622" s="9"/>
      <c r="K622" s="10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7"/>
      <c r="B623" s="8"/>
      <c r="C623" s="8"/>
      <c r="D623" s="8"/>
      <c r="E623" s="8"/>
      <c r="F623" s="8"/>
      <c r="G623" s="8"/>
      <c r="H623" s="8"/>
      <c r="I623" s="9"/>
      <c r="J623" s="9"/>
      <c r="K623" s="10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7"/>
      <c r="B624" s="8"/>
      <c r="C624" s="8"/>
      <c r="D624" s="8"/>
      <c r="E624" s="8"/>
      <c r="F624" s="8"/>
      <c r="G624" s="8"/>
      <c r="H624" s="8"/>
      <c r="I624" s="9"/>
      <c r="J624" s="9"/>
      <c r="K624" s="10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7"/>
      <c r="B625" s="8"/>
      <c r="C625" s="8"/>
      <c r="D625" s="8"/>
      <c r="E625" s="8"/>
      <c r="F625" s="8"/>
      <c r="G625" s="8"/>
      <c r="H625" s="8"/>
      <c r="I625" s="9"/>
      <c r="J625" s="9"/>
      <c r="K625" s="10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7"/>
      <c r="B626" s="8"/>
      <c r="C626" s="8"/>
      <c r="D626" s="8"/>
      <c r="E626" s="8"/>
      <c r="F626" s="8"/>
      <c r="G626" s="8"/>
      <c r="H626" s="8"/>
      <c r="I626" s="9"/>
      <c r="J626" s="9"/>
      <c r="K626" s="10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7"/>
      <c r="B627" s="8"/>
      <c r="C627" s="8"/>
      <c r="D627" s="8"/>
      <c r="E627" s="8"/>
      <c r="F627" s="8"/>
      <c r="G627" s="8"/>
      <c r="H627" s="8"/>
      <c r="I627" s="9"/>
      <c r="J627" s="9"/>
      <c r="K627" s="10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7"/>
      <c r="B628" s="8"/>
      <c r="C628" s="8"/>
      <c r="D628" s="8"/>
      <c r="E628" s="8"/>
      <c r="F628" s="8"/>
      <c r="G628" s="8"/>
      <c r="H628" s="8"/>
      <c r="I628" s="9"/>
      <c r="J628" s="9"/>
      <c r="K628" s="10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7"/>
      <c r="B629" s="8"/>
      <c r="C629" s="8"/>
      <c r="D629" s="8"/>
      <c r="E629" s="8"/>
      <c r="F629" s="8"/>
      <c r="G629" s="8"/>
      <c r="H629" s="8"/>
      <c r="I629" s="9"/>
      <c r="J629" s="9"/>
      <c r="K629" s="10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7"/>
      <c r="B630" s="8"/>
      <c r="C630" s="8"/>
      <c r="D630" s="8"/>
      <c r="E630" s="8"/>
      <c r="F630" s="8"/>
      <c r="G630" s="8"/>
      <c r="H630" s="8"/>
      <c r="I630" s="9"/>
      <c r="J630" s="9"/>
      <c r="K630" s="10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7"/>
      <c r="B631" s="8"/>
      <c r="C631" s="8"/>
      <c r="D631" s="8"/>
      <c r="E631" s="8"/>
      <c r="F631" s="8"/>
      <c r="G631" s="8"/>
      <c r="H631" s="8"/>
      <c r="I631" s="9"/>
      <c r="J631" s="9"/>
      <c r="K631" s="10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7"/>
      <c r="B632" s="8"/>
      <c r="C632" s="8"/>
      <c r="D632" s="8"/>
      <c r="E632" s="8"/>
      <c r="F632" s="8"/>
      <c r="G632" s="8"/>
      <c r="H632" s="8"/>
      <c r="I632" s="9"/>
      <c r="J632" s="9"/>
      <c r="K632" s="10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7"/>
      <c r="B633" s="8"/>
      <c r="C633" s="8"/>
      <c r="D633" s="8"/>
      <c r="E633" s="8"/>
      <c r="F633" s="8"/>
      <c r="G633" s="8"/>
      <c r="H633" s="8"/>
      <c r="I633" s="9"/>
      <c r="J633" s="9"/>
      <c r="K633" s="10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7"/>
      <c r="B634" s="8"/>
      <c r="C634" s="8"/>
      <c r="D634" s="8"/>
      <c r="E634" s="8"/>
      <c r="F634" s="8"/>
      <c r="G634" s="8"/>
      <c r="H634" s="8"/>
      <c r="I634" s="9"/>
      <c r="J634" s="9"/>
      <c r="K634" s="10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7"/>
      <c r="B635" s="8"/>
      <c r="C635" s="8"/>
      <c r="D635" s="8"/>
      <c r="E635" s="8"/>
      <c r="F635" s="8"/>
      <c r="G635" s="8"/>
      <c r="H635" s="8"/>
      <c r="I635" s="9"/>
      <c r="J635" s="9"/>
      <c r="K635" s="10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7"/>
      <c r="B636" s="8"/>
      <c r="C636" s="8"/>
      <c r="D636" s="8"/>
      <c r="E636" s="8"/>
      <c r="F636" s="8"/>
      <c r="G636" s="8"/>
      <c r="H636" s="8"/>
      <c r="I636" s="9"/>
      <c r="J636" s="9"/>
      <c r="K636" s="10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7"/>
      <c r="B637" s="8"/>
      <c r="C637" s="8"/>
      <c r="D637" s="8"/>
      <c r="E637" s="8"/>
      <c r="F637" s="8"/>
      <c r="G637" s="8"/>
      <c r="H637" s="8"/>
      <c r="I637" s="9"/>
      <c r="J637" s="9"/>
      <c r="K637" s="10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7"/>
      <c r="B638" s="8"/>
      <c r="C638" s="8"/>
      <c r="D638" s="8"/>
      <c r="E638" s="8"/>
      <c r="F638" s="8"/>
      <c r="G638" s="8"/>
      <c r="H638" s="8"/>
      <c r="I638" s="9"/>
      <c r="J638" s="9"/>
      <c r="K638" s="10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7"/>
      <c r="B639" s="8"/>
      <c r="C639" s="8"/>
      <c r="D639" s="8"/>
      <c r="E639" s="8"/>
      <c r="F639" s="8"/>
      <c r="G639" s="8"/>
      <c r="H639" s="8"/>
      <c r="I639" s="9"/>
      <c r="J639" s="9"/>
      <c r="K639" s="10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7"/>
      <c r="B640" s="8"/>
      <c r="C640" s="8"/>
      <c r="D640" s="8"/>
      <c r="E640" s="8"/>
      <c r="F640" s="8"/>
      <c r="G640" s="8"/>
      <c r="H640" s="8"/>
      <c r="I640" s="9"/>
      <c r="J640" s="9"/>
      <c r="K640" s="10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11"/>
      <c r="B641" s="12"/>
      <c r="C641" s="12"/>
      <c r="D641" s="12"/>
      <c r="E641" s="12"/>
      <c r="F641" s="12"/>
      <c r="G641" s="12"/>
      <c r="H641" s="12"/>
      <c r="I641" s="14"/>
      <c r="J641" s="14"/>
      <c r="K641" s="10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7"/>
      <c r="B642" s="8"/>
      <c r="C642" s="8"/>
      <c r="D642" s="8"/>
      <c r="E642" s="8"/>
      <c r="F642" s="8"/>
      <c r="G642" s="8"/>
      <c r="H642" s="8"/>
      <c r="I642" s="9"/>
      <c r="J642" s="9"/>
      <c r="K642" s="10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7"/>
      <c r="B643" s="8"/>
      <c r="C643" s="8"/>
      <c r="D643" s="8"/>
      <c r="E643" s="8"/>
      <c r="F643" s="8"/>
      <c r="G643" s="8"/>
      <c r="H643" s="8"/>
      <c r="I643" s="9"/>
      <c r="J643" s="9"/>
      <c r="K643" s="10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7"/>
      <c r="B644" s="8"/>
      <c r="C644" s="8"/>
      <c r="D644" s="8"/>
      <c r="E644" s="8"/>
      <c r="F644" s="8"/>
      <c r="G644" s="8"/>
      <c r="H644" s="8"/>
      <c r="I644" s="9"/>
      <c r="J644" s="9"/>
      <c r="K644" s="10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7"/>
      <c r="B645" s="8"/>
      <c r="C645" s="8"/>
      <c r="D645" s="8"/>
      <c r="E645" s="8"/>
      <c r="F645" s="8"/>
      <c r="G645" s="8"/>
      <c r="H645" s="8"/>
      <c r="I645" s="9"/>
      <c r="J645" s="9"/>
      <c r="K645" s="10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7"/>
      <c r="B646" s="8"/>
      <c r="C646" s="8"/>
      <c r="D646" s="8"/>
      <c r="E646" s="8"/>
      <c r="F646" s="8"/>
      <c r="G646" s="8"/>
      <c r="H646" s="8"/>
      <c r="I646" s="9"/>
      <c r="J646" s="9"/>
      <c r="K646" s="10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7"/>
      <c r="B647" s="8"/>
      <c r="C647" s="8"/>
      <c r="D647" s="8"/>
      <c r="E647" s="8"/>
      <c r="F647" s="8"/>
      <c r="G647" s="8"/>
      <c r="H647" s="8"/>
      <c r="I647" s="9"/>
      <c r="J647" s="9"/>
      <c r="K647" s="10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7"/>
      <c r="B648" s="8"/>
      <c r="C648" s="8"/>
      <c r="D648" s="8"/>
      <c r="E648" s="8"/>
      <c r="F648" s="8"/>
      <c r="G648" s="8"/>
      <c r="H648" s="8"/>
      <c r="I648" s="9"/>
      <c r="J648" s="9"/>
      <c r="K648" s="10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7"/>
      <c r="B649" s="8"/>
      <c r="C649" s="8"/>
      <c r="D649" s="8"/>
      <c r="E649" s="8"/>
      <c r="F649" s="8"/>
      <c r="G649" s="8"/>
      <c r="H649" s="8"/>
      <c r="I649" s="9"/>
      <c r="J649" s="9"/>
      <c r="K649" s="10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7"/>
      <c r="B650" s="8"/>
      <c r="C650" s="8"/>
      <c r="D650" s="8"/>
      <c r="E650" s="8"/>
      <c r="F650" s="8"/>
      <c r="G650" s="8"/>
      <c r="H650" s="8"/>
      <c r="I650" s="9"/>
      <c r="J650" s="9"/>
      <c r="K650" s="10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7"/>
      <c r="B651" s="8"/>
      <c r="C651" s="8"/>
      <c r="D651" s="8"/>
      <c r="E651" s="8"/>
      <c r="F651" s="8"/>
      <c r="G651" s="8"/>
      <c r="H651" s="8"/>
      <c r="I651" s="9"/>
      <c r="J651" s="9"/>
      <c r="K651" s="10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7"/>
      <c r="B652" s="8"/>
      <c r="C652" s="8"/>
      <c r="D652" s="8"/>
      <c r="E652" s="8"/>
      <c r="F652" s="8"/>
      <c r="G652" s="8"/>
      <c r="H652" s="8"/>
      <c r="I652" s="9"/>
      <c r="J652" s="9"/>
      <c r="K652" s="10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7"/>
      <c r="B653" s="8"/>
      <c r="C653" s="8"/>
      <c r="D653" s="8"/>
      <c r="E653" s="8"/>
      <c r="F653" s="8"/>
      <c r="G653" s="8"/>
      <c r="H653" s="8"/>
      <c r="I653" s="9"/>
      <c r="J653" s="9"/>
      <c r="K653" s="10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7"/>
      <c r="B654" s="8"/>
      <c r="C654" s="8"/>
      <c r="D654" s="8"/>
      <c r="E654" s="8"/>
      <c r="F654" s="8"/>
      <c r="G654" s="8"/>
      <c r="H654" s="8"/>
      <c r="I654" s="9"/>
      <c r="J654" s="9"/>
      <c r="K654" s="10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7"/>
      <c r="B655" s="8"/>
      <c r="C655" s="8"/>
      <c r="D655" s="8"/>
      <c r="E655" s="8"/>
      <c r="F655" s="8"/>
      <c r="G655" s="8"/>
      <c r="H655" s="8"/>
      <c r="I655" s="9"/>
      <c r="J655" s="9"/>
      <c r="K655" s="10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7"/>
      <c r="B656" s="8"/>
      <c r="C656" s="8"/>
      <c r="D656" s="8"/>
      <c r="E656" s="8"/>
      <c r="F656" s="8"/>
      <c r="G656" s="8"/>
      <c r="H656" s="8"/>
      <c r="I656" s="9"/>
      <c r="J656" s="9"/>
      <c r="K656" s="10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7"/>
      <c r="B657" s="8"/>
      <c r="C657" s="8"/>
      <c r="D657" s="8"/>
      <c r="E657" s="8"/>
      <c r="F657" s="8"/>
      <c r="G657" s="8"/>
      <c r="H657" s="8"/>
      <c r="I657" s="9"/>
      <c r="J657" s="9"/>
      <c r="K657" s="10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7"/>
      <c r="B658" s="8"/>
      <c r="C658" s="8"/>
      <c r="D658" s="8"/>
      <c r="E658" s="8"/>
      <c r="F658" s="8"/>
      <c r="G658" s="8"/>
      <c r="H658" s="8"/>
      <c r="I658" s="9"/>
      <c r="J658" s="9"/>
      <c r="K658" s="10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7"/>
      <c r="B659" s="8"/>
      <c r="C659" s="8"/>
      <c r="D659" s="8"/>
      <c r="E659" s="8"/>
      <c r="F659" s="8"/>
      <c r="G659" s="8"/>
      <c r="H659" s="8"/>
      <c r="I659" s="9"/>
      <c r="J659" s="9"/>
      <c r="K659" s="10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7"/>
      <c r="B660" s="8"/>
      <c r="C660" s="8"/>
      <c r="D660" s="8"/>
      <c r="E660" s="8"/>
      <c r="F660" s="8"/>
      <c r="G660" s="8"/>
      <c r="H660" s="8"/>
      <c r="I660" s="9"/>
      <c r="J660" s="9"/>
      <c r="K660" s="10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7"/>
      <c r="B661" s="8"/>
      <c r="C661" s="8"/>
      <c r="D661" s="8"/>
      <c r="E661" s="8"/>
      <c r="F661" s="8"/>
      <c r="G661" s="8"/>
      <c r="H661" s="8"/>
      <c r="I661" s="9"/>
      <c r="J661" s="9"/>
      <c r="K661" s="10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7"/>
      <c r="B662" s="8"/>
      <c r="C662" s="8"/>
      <c r="D662" s="8"/>
      <c r="E662" s="8"/>
      <c r="F662" s="8"/>
      <c r="G662" s="8"/>
      <c r="H662" s="8"/>
      <c r="I662" s="9"/>
      <c r="J662" s="9"/>
      <c r="K662" s="10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7"/>
      <c r="B663" s="8"/>
      <c r="C663" s="8"/>
      <c r="D663" s="8"/>
      <c r="E663" s="8"/>
      <c r="F663" s="8"/>
      <c r="G663" s="8"/>
      <c r="H663" s="8"/>
      <c r="I663" s="9"/>
      <c r="J663" s="9"/>
      <c r="K663" s="10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7"/>
      <c r="B664" s="8"/>
      <c r="C664" s="8"/>
      <c r="D664" s="8"/>
      <c r="E664" s="8"/>
      <c r="F664" s="8"/>
      <c r="G664" s="8"/>
      <c r="H664" s="8"/>
      <c r="I664" s="9"/>
      <c r="J664" s="9"/>
      <c r="K664" s="10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11"/>
      <c r="B665" s="12"/>
      <c r="C665" s="12"/>
      <c r="D665" s="12"/>
      <c r="E665" s="12"/>
      <c r="F665" s="12"/>
      <c r="G665" s="12"/>
      <c r="H665" s="12"/>
      <c r="I665" s="14"/>
      <c r="J665" s="14"/>
      <c r="K665" s="10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7"/>
      <c r="B666" s="8"/>
      <c r="C666" s="8"/>
      <c r="D666" s="8"/>
      <c r="E666" s="8"/>
      <c r="F666" s="8"/>
      <c r="G666" s="8"/>
      <c r="H666" s="8"/>
      <c r="I666" s="9"/>
      <c r="J666" s="9"/>
      <c r="K666" s="10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7"/>
      <c r="B667" s="8"/>
      <c r="C667" s="8"/>
      <c r="D667" s="8"/>
      <c r="E667" s="8"/>
      <c r="F667" s="8"/>
      <c r="G667" s="8"/>
      <c r="H667" s="8"/>
      <c r="I667" s="9"/>
      <c r="J667" s="9"/>
      <c r="K667" s="10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7"/>
      <c r="B668" s="8"/>
      <c r="C668" s="8"/>
      <c r="D668" s="8"/>
      <c r="E668" s="8"/>
      <c r="F668" s="8"/>
      <c r="G668" s="8"/>
      <c r="H668" s="8"/>
      <c r="I668" s="9"/>
      <c r="J668" s="9"/>
      <c r="K668" s="10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7"/>
      <c r="B669" s="8"/>
      <c r="C669" s="8"/>
      <c r="D669" s="8"/>
      <c r="E669" s="8"/>
      <c r="F669" s="8"/>
      <c r="G669" s="8"/>
      <c r="H669" s="8"/>
      <c r="I669" s="9"/>
      <c r="J669" s="9"/>
      <c r="K669" s="10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7"/>
      <c r="B670" s="8"/>
      <c r="C670" s="8"/>
      <c r="D670" s="8"/>
      <c r="E670" s="8"/>
      <c r="F670" s="8"/>
      <c r="G670" s="8"/>
      <c r="H670" s="8"/>
      <c r="I670" s="9"/>
      <c r="J670" s="9"/>
      <c r="K670" s="10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7"/>
      <c r="B671" s="8"/>
      <c r="C671" s="8"/>
      <c r="D671" s="8"/>
      <c r="E671" s="8"/>
      <c r="F671" s="8"/>
      <c r="G671" s="8"/>
      <c r="H671" s="8"/>
      <c r="I671" s="9"/>
      <c r="J671" s="9"/>
      <c r="K671" s="10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7"/>
      <c r="B672" s="8"/>
      <c r="C672" s="8"/>
      <c r="D672" s="8"/>
      <c r="E672" s="8"/>
      <c r="F672" s="8"/>
      <c r="G672" s="8"/>
      <c r="H672" s="8"/>
      <c r="I672" s="9"/>
      <c r="J672" s="9"/>
      <c r="K672" s="10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7"/>
      <c r="B673" s="8"/>
      <c r="C673" s="8"/>
      <c r="D673" s="8"/>
      <c r="E673" s="8"/>
      <c r="F673" s="8"/>
      <c r="G673" s="8"/>
      <c r="H673" s="8"/>
      <c r="I673" s="9"/>
      <c r="J673" s="9"/>
      <c r="K673" s="10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7"/>
      <c r="B674" s="8"/>
      <c r="C674" s="8"/>
      <c r="D674" s="8"/>
      <c r="E674" s="8"/>
      <c r="F674" s="8"/>
      <c r="G674" s="8"/>
      <c r="H674" s="8"/>
      <c r="I674" s="9"/>
      <c r="J674" s="9"/>
      <c r="K674" s="10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7"/>
      <c r="B675" s="8"/>
      <c r="C675" s="8"/>
      <c r="D675" s="8"/>
      <c r="E675" s="8"/>
      <c r="F675" s="8"/>
      <c r="G675" s="8"/>
      <c r="H675" s="8"/>
      <c r="I675" s="9"/>
      <c r="J675" s="9"/>
      <c r="K675" s="10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7"/>
      <c r="B676" s="8"/>
      <c r="C676" s="8"/>
      <c r="D676" s="8"/>
      <c r="E676" s="8"/>
      <c r="F676" s="8"/>
      <c r="G676" s="8"/>
      <c r="H676" s="8"/>
      <c r="I676" s="9"/>
      <c r="J676" s="9"/>
      <c r="K676" s="10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7"/>
      <c r="B677" s="8"/>
      <c r="C677" s="8"/>
      <c r="D677" s="8"/>
      <c r="E677" s="8"/>
      <c r="F677" s="8"/>
      <c r="G677" s="8"/>
      <c r="H677" s="8"/>
      <c r="I677" s="9"/>
      <c r="J677" s="9"/>
      <c r="K677" s="10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7"/>
      <c r="B678" s="8"/>
      <c r="C678" s="8"/>
      <c r="D678" s="8"/>
      <c r="E678" s="8"/>
      <c r="F678" s="8"/>
      <c r="G678" s="8"/>
      <c r="H678" s="8"/>
      <c r="I678" s="9"/>
      <c r="J678" s="9"/>
      <c r="K678" s="10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7"/>
      <c r="B679" s="8"/>
      <c r="C679" s="8"/>
      <c r="D679" s="8"/>
      <c r="E679" s="8"/>
      <c r="F679" s="8"/>
      <c r="G679" s="8"/>
      <c r="H679" s="8"/>
      <c r="I679" s="9"/>
      <c r="J679" s="9"/>
      <c r="K679" s="10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7"/>
      <c r="B680" s="8"/>
      <c r="C680" s="8"/>
      <c r="D680" s="8"/>
      <c r="E680" s="8"/>
      <c r="F680" s="8"/>
      <c r="G680" s="8"/>
      <c r="H680" s="8"/>
      <c r="I680" s="9"/>
      <c r="J680" s="9"/>
      <c r="K680" s="10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7"/>
      <c r="B681" s="8"/>
      <c r="C681" s="8"/>
      <c r="D681" s="8"/>
      <c r="E681" s="8"/>
      <c r="F681" s="8"/>
      <c r="G681" s="8"/>
      <c r="H681" s="8"/>
      <c r="I681" s="9"/>
      <c r="J681" s="9"/>
      <c r="K681" s="10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7"/>
      <c r="B682" s="8"/>
      <c r="C682" s="8"/>
      <c r="D682" s="8"/>
      <c r="E682" s="8"/>
      <c r="F682" s="8"/>
      <c r="G682" s="8"/>
      <c r="H682" s="8"/>
      <c r="I682" s="9"/>
      <c r="J682" s="9"/>
      <c r="K682" s="10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7"/>
      <c r="B683" s="8"/>
      <c r="C683" s="8"/>
      <c r="D683" s="8"/>
      <c r="E683" s="8"/>
      <c r="F683" s="8"/>
      <c r="G683" s="8"/>
      <c r="H683" s="8"/>
      <c r="I683" s="9"/>
      <c r="J683" s="9"/>
      <c r="K683" s="10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7"/>
      <c r="B684" s="8"/>
      <c r="C684" s="8"/>
      <c r="D684" s="8"/>
      <c r="E684" s="8"/>
      <c r="F684" s="8"/>
      <c r="G684" s="8"/>
      <c r="H684" s="8"/>
      <c r="I684" s="9"/>
      <c r="J684" s="9"/>
      <c r="K684" s="10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7"/>
      <c r="B685" s="8"/>
      <c r="C685" s="8"/>
      <c r="D685" s="8"/>
      <c r="E685" s="8"/>
      <c r="F685" s="8"/>
      <c r="G685" s="8"/>
      <c r="H685" s="8"/>
      <c r="I685" s="9"/>
      <c r="J685" s="9"/>
      <c r="K685" s="10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7"/>
      <c r="B686" s="8"/>
      <c r="C686" s="8"/>
      <c r="D686" s="8"/>
      <c r="E686" s="8"/>
      <c r="F686" s="8"/>
      <c r="G686" s="8"/>
      <c r="H686" s="8"/>
      <c r="I686" s="9"/>
      <c r="J686" s="9"/>
      <c r="K686" s="10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7"/>
      <c r="B687" s="8"/>
      <c r="C687" s="8"/>
      <c r="D687" s="8"/>
      <c r="E687" s="8"/>
      <c r="F687" s="8"/>
      <c r="G687" s="8"/>
      <c r="H687" s="8"/>
      <c r="I687" s="9"/>
      <c r="J687" s="9"/>
      <c r="K687" s="10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7"/>
      <c r="B688" s="8"/>
      <c r="C688" s="8"/>
      <c r="D688" s="8"/>
      <c r="E688" s="8"/>
      <c r="F688" s="8"/>
      <c r="G688" s="8"/>
      <c r="H688" s="8"/>
      <c r="I688" s="9"/>
      <c r="J688" s="9"/>
      <c r="K688" s="10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7"/>
      <c r="B689" s="8"/>
      <c r="C689" s="8"/>
      <c r="D689" s="8"/>
      <c r="E689" s="8"/>
      <c r="F689" s="8"/>
      <c r="G689" s="8"/>
      <c r="H689" s="8"/>
      <c r="I689" s="9"/>
      <c r="J689" s="9"/>
      <c r="K689" s="10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7"/>
      <c r="B690" s="8"/>
      <c r="C690" s="8"/>
      <c r="D690" s="8"/>
      <c r="E690" s="8"/>
      <c r="F690" s="8"/>
      <c r="G690" s="8"/>
      <c r="H690" s="8"/>
      <c r="I690" s="9"/>
      <c r="J690" s="9"/>
      <c r="K690" s="10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7"/>
      <c r="B691" s="8"/>
      <c r="C691" s="8"/>
      <c r="D691" s="8"/>
      <c r="E691" s="8"/>
      <c r="F691" s="8"/>
      <c r="G691" s="8"/>
      <c r="H691" s="8"/>
      <c r="I691" s="9"/>
      <c r="J691" s="9"/>
      <c r="K691" s="10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7"/>
      <c r="B692" s="8"/>
      <c r="C692" s="8"/>
      <c r="D692" s="8"/>
      <c r="E692" s="8"/>
      <c r="F692" s="8"/>
      <c r="G692" s="8"/>
      <c r="H692" s="8"/>
      <c r="I692" s="9"/>
      <c r="J692" s="9"/>
      <c r="K692" s="10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7"/>
      <c r="B693" s="8"/>
      <c r="C693" s="8"/>
      <c r="D693" s="8"/>
      <c r="E693" s="8"/>
      <c r="F693" s="8"/>
      <c r="G693" s="8"/>
      <c r="H693" s="8"/>
      <c r="I693" s="9"/>
      <c r="J693" s="9"/>
      <c r="K693" s="10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7"/>
      <c r="B694" s="8"/>
      <c r="C694" s="8"/>
      <c r="D694" s="8"/>
      <c r="E694" s="8"/>
      <c r="F694" s="8"/>
      <c r="G694" s="8"/>
      <c r="H694" s="8"/>
      <c r="I694" s="9"/>
      <c r="J694" s="9"/>
      <c r="K694" s="10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7"/>
      <c r="B695" s="8"/>
      <c r="C695" s="8"/>
      <c r="D695" s="8"/>
      <c r="E695" s="8"/>
      <c r="F695" s="8"/>
      <c r="G695" s="8"/>
      <c r="H695" s="8"/>
      <c r="I695" s="9"/>
      <c r="J695" s="9"/>
      <c r="K695" s="10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7"/>
      <c r="B696" s="8"/>
      <c r="C696" s="8"/>
      <c r="D696" s="8"/>
      <c r="E696" s="8"/>
      <c r="F696" s="8"/>
      <c r="G696" s="8"/>
      <c r="H696" s="8"/>
      <c r="I696" s="9"/>
      <c r="J696" s="9"/>
      <c r="K696" s="10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7"/>
      <c r="B697" s="8"/>
      <c r="C697" s="8"/>
      <c r="D697" s="8"/>
      <c r="E697" s="8"/>
      <c r="F697" s="8"/>
      <c r="G697" s="8"/>
      <c r="H697" s="8"/>
      <c r="I697" s="9"/>
      <c r="J697" s="9"/>
      <c r="K697" s="10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7"/>
      <c r="B698" s="8"/>
      <c r="C698" s="8"/>
      <c r="D698" s="8"/>
      <c r="E698" s="8"/>
      <c r="F698" s="8"/>
      <c r="G698" s="8"/>
      <c r="H698" s="8"/>
      <c r="I698" s="9"/>
      <c r="J698" s="9"/>
      <c r="K698" s="10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7"/>
      <c r="B699" s="8"/>
      <c r="C699" s="8"/>
      <c r="D699" s="8"/>
      <c r="E699" s="8"/>
      <c r="F699" s="8"/>
      <c r="G699" s="8"/>
      <c r="H699" s="8"/>
      <c r="I699" s="9"/>
      <c r="J699" s="9"/>
      <c r="K699" s="10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7"/>
      <c r="B700" s="8"/>
      <c r="C700" s="8"/>
      <c r="D700" s="8"/>
      <c r="E700" s="8"/>
      <c r="F700" s="8"/>
      <c r="G700" s="8"/>
      <c r="H700" s="8"/>
      <c r="I700" s="9"/>
      <c r="J700" s="9"/>
      <c r="K700" s="10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7"/>
      <c r="B701" s="8"/>
      <c r="C701" s="8"/>
      <c r="D701" s="8"/>
      <c r="E701" s="8"/>
      <c r="F701" s="8"/>
      <c r="G701" s="8"/>
      <c r="H701" s="8"/>
      <c r="I701" s="9"/>
      <c r="J701" s="9"/>
      <c r="K701" s="10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7"/>
      <c r="B702" s="8"/>
      <c r="C702" s="8"/>
      <c r="D702" s="8"/>
      <c r="E702" s="8"/>
      <c r="F702" s="8"/>
      <c r="G702" s="8"/>
      <c r="H702" s="8"/>
      <c r="I702" s="9"/>
      <c r="J702" s="9"/>
      <c r="K702" s="10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7"/>
      <c r="B703" s="8"/>
      <c r="C703" s="8"/>
      <c r="D703" s="8"/>
      <c r="E703" s="8"/>
      <c r="F703" s="8"/>
      <c r="G703" s="8"/>
      <c r="H703" s="8"/>
      <c r="I703" s="9"/>
      <c r="J703" s="9"/>
      <c r="K703" s="10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11"/>
      <c r="B704" s="12"/>
      <c r="C704" s="12"/>
      <c r="D704" s="12"/>
      <c r="E704" s="12"/>
      <c r="F704" s="12"/>
      <c r="G704" s="12"/>
      <c r="H704" s="12"/>
      <c r="I704" s="13"/>
      <c r="J704" s="13"/>
      <c r="K704" s="10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7"/>
      <c r="B705" s="8"/>
      <c r="C705" s="8"/>
      <c r="D705" s="8"/>
      <c r="E705" s="8"/>
      <c r="F705" s="8"/>
      <c r="G705" s="8"/>
      <c r="H705" s="8"/>
      <c r="I705" s="9"/>
      <c r="J705" s="9"/>
      <c r="K705" s="10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7"/>
      <c r="B706" s="8"/>
      <c r="C706" s="8"/>
      <c r="D706" s="8"/>
      <c r="E706" s="8"/>
      <c r="F706" s="8"/>
      <c r="G706" s="8"/>
      <c r="H706" s="8"/>
      <c r="I706" s="9"/>
      <c r="J706" s="9"/>
      <c r="K706" s="10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7"/>
      <c r="B707" s="8"/>
      <c r="C707" s="8"/>
      <c r="D707" s="8"/>
      <c r="E707" s="8"/>
      <c r="F707" s="8"/>
      <c r="G707" s="8"/>
      <c r="H707" s="8"/>
      <c r="I707" s="9"/>
      <c r="J707" s="9"/>
      <c r="K707" s="10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7"/>
      <c r="B708" s="8"/>
      <c r="C708" s="8"/>
      <c r="D708" s="8"/>
      <c r="E708" s="8"/>
      <c r="F708" s="8"/>
      <c r="G708" s="8"/>
      <c r="H708" s="8"/>
      <c r="I708" s="9"/>
      <c r="J708" s="9"/>
      <c r="K708" s="10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7"/>
      <c r="B709" s="8"/>
      <c r="C709" s="8"/>
      <c r="D709" s="8"/>
      <c r="E709" s="8"/>
      <c r="F709" s="8"/>
      <c r="G709" s="8"/>
      <c r="H709" s="8"/>
      <c r="I709" s="9"/>
      <c r="J709" s="9"/>
      <c r="K709" s="10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11"/>
      <c r="B710" s="12"/>
      <c r="C710" s="12"/>
      <c r="D710" s="12"/>
      <c r="E710" s="12"/>
      <c r="F710" s="12"/>
      <c r="G710" s="12"/>
      <c r="H710" s="12"/>
      <c r="I710" s="14"/>
      <c r="J710" s="14"/>
      <c r="K710" s="10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7"/>
      <c r="B711" s="8"/>
      <c r="C711" s="8"/>
      <c r="D711" s="8"/>
      <c r="E711" s="8"/>
      <c r="F711" s="8"/>
      <c r="G711" s="8"/>
      <c r="H711" s="8"/>
      <c r="I711" s="9"/>
      <c r="J711" s="9"/>
      <c r="K711" s="10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7"/>
      <c r="B712" s="8"/>
      <c r="C712" s="8"/>
      <c r="D712" s="8"/>
      <c r="E712" s="8"/>
      <c r="F712" s="8"/>
      <c r="G712" s="8"/>
      <c r="H712" s="8"/>
      <c r="I712" s="9"/>
      <c r="J712" s="9"/>
      <c r="K712" s="10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7"/>
      <c r="B713" s="8"/>
      <c r="C713" s="8"/>
      <c r="D713" s="8"/>
      <c r="E713" s="8"/>
      <c r="F713" s="8"/>
      <c r="G713" s="8"/>
      <c r="H713" s="8"/>
      <c r="I713" s="9"/>
      <c r="J713" s="9"/>
      <c r="K713" s="10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7"/>
      <c r="B714" s="8"/>
      <c r="C714" s="8"/>
      <c r="D714" s="8"/>
      <c r="E714" s="8"/>
      <c r="F714" s="8"/>
      <c r="G714" s="8"/>
      <c r="H714" s="8"/>
      <c r="I714" s="9"/>
      <c r="J714" s="9"/>
      <c r="K714" s="10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7"/>
      <c r="B715" s="8"/>
      <c r="C715" s="8"/>
      <c r="D715" s="8"/>
      <c r="E715" s="8"/>
      <c r="F715" s="8"/>
      <c r="G715" s="8"/>
      <c r="H715" s="8"/>
      <c r="I715" s="9"/>
      <c r="J715" s="9"/>
      <c r="K715" s="10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7"/>
      <c r="B716" s="8"/>
      <c r="C716" s="8"/>
      <c r="D716" s="8"/>
      <c r="E716" s="8"/>
      <c r="F716" s="8"/>
      <c r="G716" s="8"/>
      <c r="H716" s="8"/>
      <c r="I716" s="9"/>
      <c r="J716" s="9"/>
      <c r="K716" s="10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7"/>
      <c r="B717" s="8"/>
      <c r="C717" s="8"/>
      <c r="D717" s="8"/>
      <c r="E717" s="8"/>
      <c r="F717" s="8"/>
      <c r="G717" s="8"/>
      <c r="H717" s="8"/>
      <c r="I717" s="9"/>
      <c r="J717" s="9"/>
      <c r="K717" s="10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7"/>
      <c r="B718" s="8"/>
      <c r="C718" s="8"/>
      <c r="D718" s="8"/>
      <c r="E718" s="8"/>
      <c r="F718" s="8"/>
      <c r="G718" s="8"/>
      <c r="H718" s="8"/>
      <c r="I718" s="9"/>
      <c r="J718" s="9"/>
      <c r="K718" s="10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7"/>
      <c r="B719" s="8"/>
      <c r="C719" s="8"/>
      <c r="D719" s="8"/>
      <c r="E719" s="8"/>
      <c r="F719" s="8"/>
      <c r="G719" s="8"/>
      <c r="H719" s="8"/>
      <c r="I719" s="9"/>
      <c r="J719" s="9"/>
      <c r="K719" s="10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7"/>
      <c r="B720" s="8"/>
      <c r="C720" s="8"/>
      <c r="D720" s="8"/>
      <c r="E720" s="8"/>
      <c r="F720" s="8"/>
      <c r="G720" s="8"/>
      <c r="H720" s="8"/>
      <c r="I720" s="9"/>
      <c r="J720" s="9"/>
      <c r="K720" s="10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7"/>
      <c r="B721" s="8"/>
      <c r="C721" s="8"/>
      <c r="D721" s="8"/>
      <c r="E721" s="8"/>
      <c r="F721" s="8"/>
      <c r="G721" s="8"/>
      <c r="H721" s="8"/>
      <c r="I721" s="9"/>
      <c r="J721" s="9"/>
      <c r="K721" s="10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7"/>
      <c r="B722" s="8"/>
      <c r="C722" s="8"/>
      <c r="D722" s="8"/>
      <c r="E722" s="8"/>
      <c r="F722" s="8"/>
      <c r="G722" s="8"/>
      <c r="H722" s="8"/>
      <c r="I722" s="9"/>
      <c r="J722" s="9"/>
      <c r="K722" s="1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7"/>
      <c r="B723" s="8"/>
      <c r="C723" s="8"/>
      <c r="D723" s="8"/>
      <c r="E723" s="8"/>
      <c r="F723" s="8"/>
      <c r="G723" s="8"/>
      <c r="H723" s="8"/>
      <c r="I723" s="9"/>
      <c r="J723" s="9"/>
      <c r="K723" s="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7"/>
      <c r="B724" s="8"/>
      <c r="C724" s="8"/>
      <c r="D724" s="8"/>
      <c r="E724" s="8"/>
      <c r="F724" s="8"/>
      <c r="G724" s="8"/>
      <c r="H724" s="8"/>
      <c r="I724" s="9"/>
      <c r="J724" s="9"/>
      <c r="K724" s="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7"/>
      <c r="B725" s="8"/>
      <c r="C725" s="8"/>
      <c r="D725" s="8"/>
      <c r="E725" s="8"/>
      <c r="F725" s="8"/>
      <c r="G725" s="8"/>
      <c r="H725" s="8"/>
      <c r="I725" s="9"/>
      <c r="J725" s="9"/>
      <c r="K725" s="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7"/>
      <c r="B726" s="8"/>
      <c r="C726" s="8"/>
      <c r="D726" s="8"/>
      <c r="E726" s="8"/>
      <c r="F726" s="8"/>
      <c r="G726" s="8"/>
      <c r="H726" s="8"/>
      <c r="I726" s="9"/>
      <c r="J726" s="9"/>
      <c r="K726" s="1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7"/>
      <c r="B727" s="8"/>
      <c r="C727" s="8"/>
      <c r="D727" s="8"/>
      <c r="E727" s="8"/>
      <c r="F727" s="8"/>
      <c r="G727" s="8"/>
      <c r="H727" s="8"/>
      <c r="I727" s="9"/>
      <c r="J727" s="9"/>
      <c r="K727" s="1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7"/>
      <c r="B728" s="8"/>
      <c r="C728" s="8"/>
      <c r="D728" s="8"/>
      <c r="E728" s="8"/>
      <c r="F728" s="8"/>
      <c r="G728" s="8"/>
      <c r="H728" s="8"/>
      <c r="I728" s="9"/>
      <c r="J728" s="9"/>
      <c r="K728" s="1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7"/>
      <c r="B729" s="8"/>
      <c r="C729" s="8"/>
      <c r="D729" s="8"/>
      <c r="E729" s="8"/>
      <c r="F729" s="8"/>
      <c r="G729" s="8"/>
      <c r="H729" s="8"/>
      <c r="I729" s="9"/>
      <c r="J729" s="9"/>
      <c r="K729" s="1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7"/>
      <c r="B730" s="8"/>
      <c r="C730" s="8"/>
      <c r="D730" s="8"/>
      <c r="E730" s="8"/>
      <c r="F730" s="8"/>
      <c r="G730" s="8"/>
      <c r="H730" s="8"/>
      <c r="I730" s="9"/>
      <c r="J730" s="9"/>
      <c r="K730" s="1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7"/>
      <c r="B731" s="8"/>
      <c r="C731" s="8"/>
      <c r="D731" s="8"/>
      <c r="E731" s="8"/>
      <c r="F731" s="8"/>
      <c r="G731" s="8"/>
      <c r="H731" s="8"/>
      <c r="I731" s="9"/>
      <c r="J731" s="9"/>
      <c r="K731" s="1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7"/>
      <c r="B732" s="8"/>
      <c r="C732" s="8"/>
      <c r="D732" s="8"/>
      <c r="E732" s="8"/>
      <c r="F732" s="8"/>
      <c r="G732" s="8"/>
      <c r="H732" s="8"/>
      <c r="I732" s="9"/>
      <c r="J732" s="9"/>
      <c r="K732" s="1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7"/>
      <c r="B733" s="8"/>
      <c r="C733" s="8"/>
      <c r="D733" s="8"/>
      <c r="E733" s="8"/>
      <c r="F733" s="8"/>
      <c r="G733" s="8"/>
      <c r="H733" s="8"/>
      <c r="I733" s="9"/>
      <c r="J733" s="9"/>
      <c r="K733" s="1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11"/>
      <c r="B734" s="12"/>
      <c r="C734" s="12"/>
      <c r="D734" s="12"/>
      <c r="E734" s="12"/>
      <c r="F734" s="12"/>
      <c r="G734" s="12"/>
      <c r="H734" s="12"/>
      <c r="I734" s="13"/>
      <c r="J734" s="13"/>
      <c r="K734" s="1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7"/>
      <c r="B735" s="8"/>
      <c r="C735" s="8"/>
      <c r="D735" s="8"/>
      <c r="E735" s="8"/>
      <c r="F735" s="8"/>
      <c r="G735" s="8"/>
      <c r="H735" s="8"/>
      <c r="I735" s="9"/>
      <c r="J735" s="9"/>
      <c r="K735" s="1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7"/>
      <c r="B736" s="8"/>
      <c r="C736" s="8"/>
      <c r="D736" s="8"/>
      <c r="E736" s="8"/>
      <c r="F736" s="8"/>
      <c r="G736" s="8"/>
      <c r="H736" s="8"/>
      <c r="I736" s="9"/>
      <c r="J736" s="9"/>
      <c r="K736" s="1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7"/>
      <c r="B737" s="8"/>
      <c r="C737" s="8"/>
      <c r="D737" s="8"/>
      <c r="E737" s="8"/>
      <c r="F737" s="8"/>
      <c r="G737" s="8"/>
      <c r="H737" s="8"/>
      <c r="I737" s="9"/>
      <c r="J737" s="9"/>
      <c r="K737" s="1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7"/>
      <c r="B738" s="8"/>
      <c r="C738" s="8"/>
      <c r="D738" s="8"/>
      <c r="E738" s="8"/>
      <c r="F738" s="8"/>
      <c r="G738" s="8"/>
      <c r="H738" s="8"/>
      <c r="I738" s="9"/>
      <c r="J738" s="9"/>
      <c r="K738" s="1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7"/>
      <c r="B739" s="8"/>
      <c r="C739" s="8"/>
      <c r="D739" s="8"/>
      <c r="E739" s="8"/>
      <c r="F739" s="8"/>
      <c r="G739" s="8"/>
      <c r="H739" s="8"/>
      <c r="I739" s="9"/>
      <c r="J739" s="9"/>
      <c r="K739" s="10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7"/>
      <c r="B740" s="8"/>
      <c r="C740" s="8"/>
      <c r="D740" s="8"/>
      <c r="E740" s="8"/>
      <c r="F740" s="8"/>
      <c r="G740" s="8"/>
      <c r="H740" s="8"/>
      <c r="I740" s="9"/>
      <c r="J740" s="9"/>
      <c r="K740" s="10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7"/>
      <c r="B741" s="8"/>
      <c r="C741" s="8"/>
      <c r="D741" s="8"/>
      <c r="E741" s="8"/>
      <c r="F741" s="8"/>
      <c r="G741" s="8"/>
      <c r="H741" s="8"/>
      <c r="I741" s="9"/>
      <c r="J741" s="9"/>
      <c r="K741" s="10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7"/>
      <c r="B742" s="8"/>
      <c r="C742" s="8"/>
      <c r="D742" s="8"/>
      <c r="E742" s="8"/>
      <c r="F742" s="8"/>
      <c r="G742" s="8"/>
      <c r="H742" s="8"/>
      <c r="I742" s="9"/>
      <c r="J742" s="9"/>
      <c r="K742" s="10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7"/>
      <c r="B743" s="8"/>
      <c r="C743" s="8"/>
      <c r="D743" s="8"/>
      <c r="E743" s="8"/>
      <c r="F743" s="8"/>
      <c r="G743" s="8"/>
      <c r="H743" s="8"/>
      <c r="I743" s="9"/>
      <c r="J743" s="9"/>
      <c r="K743" s="10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7"/>
      <c r="B744" s="8"/>
      <c r="C744" s="8"/>
      <c r="D744" s="8"/>
      <c r="E744" s="8"/>
      <c r="F744" s="8"/>
      <c r="G744" s="8"/>
      <c r="H744" s="8"/>
      <c r="I744" s="9"/>
      <c r="J744" s="9"/>
      <c r="K744" s="10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7"/>
      <c r="B745" s="8"/>
      <c r="C745" s="8"/>
      <c r="D745" s="8"/>
      <c r="E745" s="8"/>
      <c r="F745" s="8"/>
      <c r="G745" s="8"/>
      <c r="H745" s="8"/>
      <c r="I745" s="9"/>
      <c r="J745" s="9"/>
      <c r="K745" s="10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7"/>
      <c r="B746" s="8"/>
      <c r="C746" s="8"/>
      <c r="D746" s="8"/>
      <c r="E746" s="8"/>
      <c r="F746" s="8"/>
      <c r="G746" s="8"/>
      <c r="H746" s="8"/>
      <c r="I746" s="9"/>
      <c r="J746" s="9"/>
      <c r="K746" s="10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7"/>
      <c r="B747" s="8"/>
      <c r="C747" s="8"/>
      <c r="D747" s="8"/>
      <c r="E747" s="8"/>
      <c r="F747" s="8"/>
      <c r="G747" s="8"/>
      <c r="H747" s="8"/>
      <c r="I747" s="9"/>
      <c r="J747" s="9"/>
      <c r="K747" s="10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7"/>
      <c r="B748" s="8"/>
      <c r="C748" s="8"/>
      <c r="D748" s="8"/>
      <c r="E748" s="8"/>
      <c r="F748" s="8"/>
      <c r="G748" s="8"/>
      <c r="H748" s="8"/>
      <c r="I748" s="9"/>
      <c r="J748" s="9"/>
      <c r="K748" s="10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7"/>
      <c r="B749" s="8"/>
      <c r="C749" s="8"/>
      <c r="D749" s="8"/>
      <c r="E749" s="8"/>
      <c r="F749" s="8"/>
      <c r="G749" s="8"/>
      <c r="H749" s="8"/>
      <c r="I749" s="9"/>
      <c r="J749" s="9"/>
      <c r="K749" s="10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7"/>
      <c r="B750" s="8"/>
      <c r="C750" s="8"/>
      <c r="D750" s="8"/>
      <c r="E750" s="8"/>
      <c r="F750" s="8"/>
      <c r="G750" s="8"/>
      <c r="H750" s="8"/>
      <c r="I750" s="9"/>
      <c r="J750" s="9"/>
      <c r="K750" s="10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7"/>
      <c r="B751" s="8"/>
      <c r="C751" s="8"/>
      <c r="D751" s="8"/>
      <c r="E751" s="8"/>
      <c r="F751" s="8"/>
      <c r="G751" s="8"/>
      <c r="H751" s="8"/>
      <c r="I751" s="9"/>
      <c r="J751" s="9"/>
      <c r="K751" s="10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7"/>
      <c r="B752" s="8"/>
      <c r="C752" s="8"/>
      <c r="D752" s="8"/>
      <c r="E752" s="8"/>
      <c r="F752" s="8"/>
      <c r="G752" s="8"/>
      <c r="H752" s="8"/>
      <c r="I752" s="9"/>
      <c r="J752" s="9"/>
      <c r="K752" s="10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7"/>
      <c r="B753" s="8"/>
      <c r="C753" s="8"/>
      <c r="D753" s="8"/>
      <c r="E753" s="8"/>
      <c r="F753" s="8"/>
      <c r="G753" s="8"/>
      <c r="H753" s="8"/>
      <c r="I753" s="9"/>
      <c r="J753" s="9"/>
      <c r="K753" s="10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7"/>
      <c r="B754" s="8"/>
      <c r="C754" s="8"/>
      <c r="D754" s="8"/>
      <c r="E754" s="8"/>
      <c r="F754" s="8"/>
      <c r="G754" s="8"/>
      <c r="H754" s="8"/>
      <c r="I754" s="9"/>
      <c r="J754" s="9"/>
      <c r="K754" s="10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7"/>
      <c r="B755" s="8"/>
      <c r="C755" s="8"/>
      <c r="D755" s="8"/>
      <c r="E755" s="8"/>
      <c r="F755" s="8"/>
      <c r="G755" s="8"/>
      <c r="H755" s="8"/>
      <c r="I755" s="9"/>
      <c r="J755" s="9"/>
      <c r="K755" s="10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7"/>
      <c r="B756" s="8"/>
      <c r="C756" s="8"/>
      <c r="D756" s="8"/>
      <c r="E756" s="8"/>
      <c r="F756" s="8"/>
      <c r="G756" s="8"/>
      <c r="H756" s="8"/>
      <c r="I756" s="9"/>
      <c r="J756" s="9"/>
      <c r="K756" s="10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7"/>
      <c r="B757" s="8"/>
      <c r="C757" s="8"/>
      <c r="D757" s="8"/>
      <c r="E757" s="8"/>
      <c r="F757" s="8"/>
      <c r="G757" s="8"/>
      <c r="H757" s="8"/>
      <c r="I757" s="9"/>
      <c r="J757" s="9"/>
      <c r="K757" s="10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7"/>
      <c r="B758" s="8"/>
      <c r="C758" s="8"/>
      <c r="D758" s="8"/>
      <c r="E758" s="8"/>
      <c r="F758" s="8"/>
      <c r="G758" s="8"/>
      <c r="H758" s="8"/>
      <c r="I758" s="9"/>
      <c r="J758" s="9"/>
      <c r="K758" s="10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7"/>
      <c r="B759" s="8"/>
      <c r="C759" s="8"/>
      <c r="D759" s="8"/>
      <c r="E759" s="8"/>
      <c r="F759" s="8"/>
      <c r="G759" s="8"/>
      <c r="H759" s="8"/>
      <c r="I759" s="9"/>
      <c r="J759" s="9"/>
      <c r="K759" s="10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7"/>
      <c r="B760" s="8"/>
      <c r="C760" s="8"/>
      <c r="D760" s="8"/>
      <c r="E760" s="8"/>
      <c r="F760" s="8"/>
      <c r="G760" s="8"/>
      <c r="H760" s="8"/>
      <c r="I760" s="9"/>
      <c r="J760" s="9"/>
      <c r="K760" s="1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7"/>
      <c r="B761" s="8"/>
      <c r="C761" s="8"/>
      <c r="D761" s="8"/>
      <c r="E761" s="8"/>
      <c r="F761" s="8"/>
      <c r="G761" s="8"/>
      <c r="H761" s="8"/>
      <c r="I761" s="9"/>
      <c r="J761" s="9"/>
      <c r="K761" s="1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7"/>
      <c r="B762" s="8"/>
      <c r="C762" s="8"/>
      <c r="D762" s="8"/>
      <c r="E762" s="8"/>
      <c r="F762" s="8"/>
      <c r="G762" s="8"/>
      <c r="H762" s="8"/>
      <c r="I762" s="9"/>
      <c r="J762" s="9"/>
      <c r="K762" s="1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7"/>
      <c r="B763" s="8"/>
      <c r="C763" s="8"/>
      <c r="D763" s="8"/>
      <c r="E763" s="8"/>
      <c r="F763" s="8"/>
      <c r="G763" s="8"/>
      <c r="H763" s="8"/>
      <c r="I763" s="9"/>
      <c r="J763" s="9"/>
      <c r="K763" s="10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7"/>
      <c r="B764" s="8"/>
      <c r="C764" s="8"/>
      <c r="D764" s="8"/>
      <c r="E764" s="8"/>
      <c r="F764" s="8"/>
      <c r="G764" s="8"/>
      <c r="H764" s="8"/>
      <c r="I764" s="9"/>
      <c r="J764" s="9"/>
      <c r="K764" s="10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7"/>
      <c r="B765" s="8"/>
      <c r="C765" s="8"/>
      <c r="D765" s="8"/>
      <c r="E765" s="8"/>
      <c r="F765" s="8"/>
      <c r="G765" s="8"/>
      <c r="H765" s="8"/>
      <c r="I765" s="9"/>
      <c r="J765" s="9"/>
      <c r="K765" s="10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7"/>
      <c r="B766" s="8"/>
      <c r="C766" s="8"/>
      <c r="D766" s="8"/>
      <c r="E766" s="8"/>
      <c r="F766" s="8"/>
      <c r="G766" s="8"/>
      <c r="H766" s="8"/>
      <c r="I766" s="9"/>
      <c r="J766" s="9"/>
      <c r="K766" s="10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7"/>
      <c r="B767" s="8"/>
      <c r="C767" s="8"/>
      <c r="D767" s="8"/>
      <c r="E767" s="8"/>
      <c r="F767" s="8"/>
      <c r="G767" s="8"/>
      <c r="H767" s="8"/>
      <c r="I767" s="9"/>
      <c r="J767" s="9"/>
      <c r="K767" s="10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7"/>
      <c r="B768" s="8"/>
      <c r="C768" s="8"/>
      <c r="D768" s="8"/>
      <c r="E768" s="8"/>
      <c r="F768" s="8"/>
      <c r="G768" s="8"/>
      <c r="H768" s="8"/>
      <c r="I768" s="9"/>
      <c r="J768" s="9"/>
      <c r="K768" s="10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7"/>
      <c r="B769" s="8"/>
      <c r="C769" s="8"/>
      <c r="D769" s="8"/>
      <c r="E769" s="8"/>
      <c r="F769" s="8"/>
      <c r="G769" s="8"/>
      <c r="H769" s="8"/>
      <c r="I769" s="9"/>
      <c r="J769" s="9"/>
      <c r="K769" s="10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7"/>
      <c r="B770" s="8"/>
      <c r="C770" s="8"/>
      <c r="D770" s="8"/>
      <c r="E770" s="8"/>
      <c r="F770" s="8"/>
      <c r="G770" s="8"/>
      <c r="H770" s="8"/>
      <c r="I770" s="9"/>
      <c r="J770" s="9"/>
      <c r="K770" s="10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7"/>
      <c r="B771" s="8"/>
      <c r="C771" s="8"/>
      <c r="D771" s="8"/>
      <c r="E771" s="8"/>
      <c r="F771" s="8"/>
      <c r="G771" s="8"/>
      <c r="H771" s="8"/>
      <c r="I771" s="9"/>
      <c r="J771" s="9"/>
      <c r="K771" s="10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7"/>
      <c r="B772" s="8"/>
      <c r="C772" s="8"/>
      <c r="D772" s="8"/>
      <c r="E772" s="8"/>
      <c r="F772" s="8"/>
      <c r="G772" s="8"/>
      <c r="H772" s="8"/>
      <c r="I772" s="9"/>
      <c r="J772" s="9"/>
      <c r="K772" s="10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7"/>
      <c r="B773" s="8"/>
      <c r="C773" s="8"/>
      <c r="D773" s="8"/>
      <c r="E773" s="8"/>
      <c r="F773" s="8"/>
      <c r="G773" s="8"/>
      <c r="H773" s="8"/>
      <c r="I773" s="9"/>
      <c r="J773" s="9"/>
      <c r="K773" s="1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7"/>
      <c r="B774" s="8"/>
      <c r="C774" s="8"/>
      <c r="D774" s="8"/>
      <c r="E774" s="8"/>
      <c r="F774" s="8"/>
      <c r="G774" s="8"/>
      <c r="H774" s="8"/>
      <c r="I774" s="9"/>
      <c r="J774" s="9"/>
      <c r="K774" s="1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7"/>
      <c r="B775" s="8"/>
      <c r="C775" s="8"/>
      <c r="D775" s="8"/>
      <c r="E775" s="8"/>
      <c r="F775" s="8"/>
      <c r="G775" s="8"/>
      <c r="H775" s="8"/>
      <c r="I775" s="9"/>
      <c r="J775" s="9"/>
      <c r="K775" s="10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7"/>
      <c r="B776" s="8"/>
      <c r="C776" s="8"/>
      <c r="D776" s="8"/>
      <c r="E776" s="8"/>
      <c r="F776" s="8"/>
      <c r="G776" s="8"/>
      <c r="H776" s="8"/>
      <c r="I776" s="9"/>
      <c r="J776" s="9"/>
      <c r="K776" s="10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7"/>
      <c r="B777" s="8"/>
      <c r="C777" s="8"/>
      <c r="D777" s="8"/>
      <c r="E777" s="8"/>
      <c r="F777" s="8"/>
      <c r="G777" s="8"/>
      <c r="H777" s="8"/>
      <c r="I777" s="9"/>
      <c r="J777" s="9"/>
      <c r="K777" s="10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7"/>
      <c r="B778" s="8"/>
      <c r="C778" s="8"/>
      <c r="D778" s="8"/>
      <c r="E778" s="8"/>
      <c r="F778" s="8"/>
      <c r="G778" s="8"/>
      <c r="H778" s="8"/>
      <c r="I778" s="9"/>
      <c r="J778" s="9"/>
      <c r="K778" s="10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7"/>
      <c r="B779" s="8"/>
      <c r="C779" s="8"/>
      <c r="D779" s="8"/>
      <c r="E779" s="8"/>
      <c r="F779" s="8"/>
      <c r="G779" s="8"/>
      <c r="H779" s="8"/>
      <c r="I779" s="9"/>
      <c r="J779" s="9"/>
      <c r="K779" s="10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7"/>
      <c r="B780" s="8"/>
      <c r="C780" s="8"/>
      <c r="D780" s="8"/>
      <c r="E780" s="8"/>
      <c r="F780" s="8"/>
      <c r="G780" s="8"/>
      <c r="H780" s="8"/>
      <c r="I780" s="9"/>
      <c r="J780" s="9"/>
      <c r="K780" s="10"/>
      <c r="L780" s="15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7"/>
      <c r="B781" s="8"/>
      <c r="C781" s="8"/>
      <c r="D781" s="8"/>
      <c r="E781" s="8"/>
      <c r="F781" s="8"/>
      <c r="G781" s="8"/>
      <c r="H781" s="8"/>
      <c r="I781" s="9"/>
      <c r="J781" s="9"/>
      <c r="K781" s="10"/>
      <c r="L781" s="15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7"/>
      <c r="B782" s="8"/>
      <c r="C782" s="8"/>
      <c r="D782" s="8"/>
      <c r="E782" s="8"/>
      <c r="F782" s="8"/>
      <c r="G782" s="8"/>
      <c r="H782" s="8"/>
      <c r="I782" s="9"/>
      <c r="J782" s="9"/>
      <c r="K782" s="10"/>
      <c r="L782" s="15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7"/>
      <c r="B783" s="8"/>
      <c r="C783" s="8"/>
      <c r="D783" s="8"/>
      <c r="E783" s="8"/>
      <c r="F783" s="8"/>
      <c r="G783" s="8"/>
      <c r="H783" s="8"/>
      <c r="I783" s="9"/>
      <c r="J783" s="9"/>
      <c r="K783" s="10"/>
      <c r="L783" s="15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7"/>
      <c r="B784" s="8"/>
      <c r="C784" s="8"/>
      <c r="D784" s="8"/>
      <c r="E784" s="8"/>
      <c r="F784" s="8"/>
      <c r="G784" s="8"/>
      <c r="H784" s="8"/>
      <c r="I784" s="9"/>
      <c r="J784" s="9"/>
      <c r="K784" s="10"/>
      <c r="L784" s="15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7"/>
      <c r="B785" s="8"/>
      <c r="C785" s="8"/>
      <c r="D785" s="8"/>
      <c r="E785" s="8"/>
      <c r="F785" s="8"/>
      <c r="G785" s="8"/>
      <c r="H785" s="8"/>
      <c r="I785" s="9"/>
      <c r="J785" s="9"/>
      <c r="K785" s="10"/>
      <c r="L785" s="15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7"/>
      <c r="B786" s="8"/>
      <c r="C786" s="8"/>
      <c r="D786" s="8"/>
      <c r="E786" s="8"/>
      <c r="F786" s="8"/>
      <c r="G786" s="8"/>
      <c r="H786" s="8"/>
      <c r="I786" s="9"/>
      <c r="J786" s="9"/>
      <c r="K786" s="10"/>
      <c r="L786" s="15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7"/>
      <c r="B787" s="8"/>
      <c r="C787" s="8"/>
      <c r="D787" s="8"/>
      <c r="E787" s="8"/>
      <c r="F787" s="8"/>
      <c r="G787" s="8"/>
      <c r="H787" s="8"/>
      <c r="I787" s="9"/>
      <c r="J787" s="9"/>
      <c r="K787" s="10"/>
      <c r="L787" s="15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7"/>
      <c r="B788" s="8"/>
      <c r="C788" s="8"/>
      <c r="D788" s="8"/>
      <c r="E788" s="8"/>
      <c r="F788" s="8"/>
      <c r="G788" s="8"/>
      <c r="H788" s="8"/>
      <c r="I788" s="9"/>
      <c r="J788" s="9"/>
      <c r="K788" s="10"/>
      <c r="L788" s="15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7"/>
      <c r="B789" s="8"/>
      <c r="C789" s="8"/>
      <c r="D789" s="8"/>
      <c r="E789" s="8"/>
      <c r="F789" s="8"/>
      <c r="G789" s="8"/>
      <c r="H789" s="8"/>
      <c r="I789" s="9"/>
      <c r="J789" s="9"/>
      <c r="K789" s="10"/>
      <c r="L789" s="15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7"/>
      <c r="B790" s="8"/>
      <c r="C790" s="8"/>
      <c r="D790" s="8"/>
      <c r="E790" s="8"/>
      <c r="F790" s="8"/>
      <c r="G790" s="8"/>
      <c r="H790" s="8"/>
      <c r="I790" s="9"/>
      <c r="J790" s="9"/>
      <c r="K790" s="10"/>
      <c r="L790" s="15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7"/>
      <c r="B791" s="8"/>
      <c r="C791" s="8"/>
      <c r="D791" s="8"/>
      <c r="E791" s="8"/>
      <c r="F791" s="8"/>
      <c r="G791" s="8"/>
      <c r="H791" s="8"/>
      <c r="I791" s="9"/>
      <c r="J791" s="9"/>
      <c r="K791" s="10"/>
      <c r="L791" s="15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7"/>
      <c r="B792" s="8"/>
      <c r="C792" s="8"/>
      <c r="D792" s="8"/>
      <c r="E792" s="8"/>
      <c r="F792" s="8"/>
      <c r="G792" s="8"/>
      <c r="H792" s="8"/>
      <c r="I792" s="9"/>
      <c r="J792" s="9"/>
      <c r="K792" s="10"/>
      <c r="L792" s="15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7"/>
      <c r="B793" s="8"/>
      <c r="C793" s="8"/>
      <c r="D793" s="8"/>
      <c r="E793" s="8"/>
      <c r="F793" s="8"/>
      <c r="G793" s="8"/>
      <c r="H793" s="8"/>
      <c r="I793" s="9"/>
      <c r="J793" s="9"/>
      <c r="K793" s="10"/>
      <c r="L793" s="15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7"/>
      <c r="B794" s="8"/>
      <c r="C794" s="8"/>
      <c r="D794" s="8"/>
      <c r="E794" s="8"/>
      <c r="F794" s="8"/>
      <c r="G794" s="8"/>
      <c r="H794" s="8"/>
      <c r="I794" s="9"/>
      <c r="J794" s="9"/>
      <c r="K794" s="10"/>
      <c r="L794" s="1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7"/>
      <c r="B795" s="8"/>
      <c r="C795" s="8"/>
      <c r="D795" s="8"/>
      <c r="E795" s="8"/>
      <c r="F795" s="8"/>
      <c r="G795" s="8"/>
      <c r="H795" s="8"/>
      <c r="I795" s="9"/>
      <c r="J795" s="9"/>
      <c r="K795" s="10"/>
      <c r="L795" s="1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7"/>
      <c r="B796" s="8"/>
      <c r="C796" s="8"/>
      <c r="D796" s="8"/>
      <c r="E796" s="8"/>
      <c r="F796" s="8"/>
      <c r="G796" s="8"/>
      <c r="H796" s="8"/>
      <c r="I796" s="9"/>
      <c r="J796" s="9"/>
      <c r="K796" s="10"/>
      <c r="L796" s="1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7"/>
      <c r="B797" s="8"/>
      <c r="C797" s="8"/>
      <c r="D797" s="8"/>
      <c r="E797" s="8"/>
      <c r="F797" s="8"/>
      <c r="G797" s="8"/>
      <c r="H797" s="8"/>
      <c r="I797" s="9"/>
      <c r="J797" s="9"/>
      <c r="K797" s="10"/>
      <c r="L797" s="1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7"/>
      <c r="B798" s="8"/>
      <c r="C798" s="8"/>
      <c r="D798" s="8"/>
      <c r="E798" s="8"/>
      <c r="F798" s="8"/>
      <c r="G798" s="8"/>
      <c r="H798" s="8"/>
      <c r="I798" s="9"/>
      <c r="J798" s="9"/>
      <c r="K798" s="10"/>
      <c r="L798" s="1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7"/>
      <c r="B799" s="8"/>
      <c r="C799" s="8"/>
      <c r="D799" s="8"/>
      <c r="E799" s="8"/>
      <c r="F799" s="8"/>
      <c r="G799" s="8"/>
      <c r="H799" s="8"/>
      <c r="I799" s="9"/>
      <c r="J799" s="9"/>
      <c r="K799" s="10"/>
      <c r="L799" s="1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7"/>
      <c r="B800" s="8"/>
      <c r="C800" s="8"/>
      <c r="D800" s="8"/>
      <c r="E800" s="8"/>
      <c r="F800" s="8"/>
      <c r="G800" s="8"/>
      <c r="H800" s="8"/>
      <c r="I800" s="9"/>
      <c r="J800" s="9"/>
      <c r="K800" s="10"/>
      <c r="L800" s="1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7"/>
      <c r="B801" s="8"/>
      <c r="C801" s="8"/>
      <c r="D801" s="8"/>
      <c r="E801" s="8"/>
      <c r="F801" s="8"/>
      <c r="G801" s="8"/>
      <c r="H801" s="8"/>
      <c r="I801" s="9"/>
      <c r="J801" s="9"/>
      <c r="K801" s="10"/>
      <c r="L801" s="1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7"/>
      <c r="B802" s="8"/>
      <c r="C802" s="8"/>
      <c r="D802" s="8"/>
      <c r="E802" s="8"/>
      <c r="F802" s="8"/>
      <c r="G802" s="8"/>
      <c r="H802" s="8"/>
      <c r="I802" s="9"/>
      <c r="J802" s="9"/>
      <c r="K802" s="10"/>
      <c r="L802" s="1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7"/>
      <c r="B803" s="8"/>
      <c r="C803" s="8"/>
      <c r="D803" s="8"/>
      <c r="E803" s="8"/>
      <c r="F803" s="8"/>
      <c r="G803" s="8"/>
      <c r="H803" s="8"/>
      <c r="I803" s="9"/>
      <c r="J803" s="9"/>
      <c r="K803" s="10"/>
      <c r="L803" s="1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7"/>
      <c r="B804" s="8"/>
      <c r="C804" s="8"/>
      <c r="D804" s="8"/>
      <c r="E804" s="8"/>
      <c r="F804" s="8"/>
      <c r="G804" s="8"/>
      <c r="H804" s="8"/>
      <c r="I804" s="9"/>
      <c r="J804" s="9"/>
      <c r="K804" s="10"/>
      <c r="L804" s="1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7"/>
      <c r="B805" s="8"/>
      <c r="C805" s="8"/>
      <c r="D805" s="8"/>
      <c r="E805" s="8"/>
      <c r="F805" s="8"/>
      <c r="G805" s="8"/>
      <c r="H805" s="8"/>
      <c r="I805" s="9"/>
      <c r="J805" s="9"/>
      <c r="K805" s="10"/>
      <c r="L805" s="1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7"/>
      <c r="B806" s="8"/>
      <c r="C806" s="8"/>
      <c r="D806" s="8"/>
      <c r="E806" s="8"/>
      <c r="F806" s="8"/>
      <c r="G806" s="8"/>
      <c r="H806" s="8"/>
      <c r="I806" s="9"/>
      <c r="J806" s="9"/>
      <c r="K806" s="10"/>
      <c r="L806" s="1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7"/>
      <c r="B807" s="8"/>
      <c r="C807" s="8"/>
      <c r="D807" s="8"/>
      <c r="E807" s="8"/>
      <c r="F807" s="8"/>
      <c r="G807" s="8"/>
      <c r="H807" s="8"/>
      <c r="I807" s="9"/>
      <c r="J807" s="9"/>
      <c r="K807" s="10"/>
      <c r="L807" s="1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7"/>
      <c r="B808" s="8"/>
      <c r="C808" s="8"/>
      <c r="D808" s="8"/>
      <c r="E808" s="8"/>
      <c r="F808" s="8"/>
      <c r="G808" s="8"/>
      <c r="H808" s="8"/>
      <c r="I808" s="9"/>
      <c r="J808" s="9"/>
      <c r="K808" s="10"/>
      <c r="L808" s="1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7"/>
      <c r="B809" s="8"/>
      <c r="C809" s="8"/>
      <c r="D809" s="8"/>
      <c r="E809" s="8"/>
      <c r="F809" s="8"/>
      <c r="G809" s="8"/>
      <c r="H809" s="8"/>
      <c r="I809" s="9"/>
      <c r="J809" s="9"/>
      <c r="K809" s="10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7"/>
      <c r="B810" s="8"/>
      <c r="C810" s="8"/>
      <c r="D810" s="8"/>
      <c r="E810" s="8"/>
      <c r="F810" s="8"/>
      <c r="G810" s="8"/>
      <c r="H810" s="8"/>
      <c r="I810" s="9"/>
      <c r="J810" s="9"/>
      <c r="K810" s="10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7"/>
      <c r="B811" s="8"/>
      <c r="C811" s="8"/>
      <c r="D811" s="8"/>
      <c r="E811" s="8"/>
      <c r="F811" s="8"/>
      <c r="G811" s="8"/>
      <c r="H811" s="8"/>
      <c r="I811" s="9"/>
      <c r="J811" s="9"/>
      <c r="K811" s="10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7"/>
      <c r="B812" s="8"/>
      <c r="C812" s="8"/>
      <c r="D812" s="8"/>
      <c r="E812" s="8"/>
      <c r="F812" s="8"/>
      <c r="G812" s="8"/>
      <c r="H812" s="8"/>
      <c r="I812" s="9"/>
      <c r="J812" s="9"/>
      <c r="K812" s="10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7"/>
      <c r="B813" s="8"/>
      <c r="C813" s="8"/>
      <c r="D813" s="8"/>
      <c r="E813" s="8"/>
      <c r="F813" s="8"/>
      <c r="G813" s="8"/>
      <c r="H813" s="8"/>
      <c r="I813" s="9"/>
      <c r="J813" s="9"/>
      <c r="K813" s="10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7"/>
      <c r="B814" s="8"/>
      <c r="C814" s="8"/>
      <c r="D814" s="8"/>
      <c r="E814" s="8"/>
      <c r="F814" s="8"/>
      <c r="G814" s="8"/>
      <c r="H814" s="8"/>
      <c r="I814" s="9"/>
      <c r="J814" s="9"/>
      <c r="K814" s="1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7"/>
      <c r="B815" s="8"/>
      <c r="C815" s="8"/>
      <c r="D815" s="8"/>
      <c r="E815" s="8"/>
      <c r="F815" s="8"/>
      <c r="G815" s="8"/>
      <c r="H815" s="8"/>
      <c r="I815" s="9"/>
      <c r="J815" s="9"/>
      <c r="K815" s="1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7"/>
      <c r="B816" s="8"/>
      <c r="C816" s="8"/>
      <c r="D816" s="8"/>
      <c r="E816" s="8"/>
      <c r="F816" s="8"/>
      <c r="G816" s="8"/>
      <c r="H816" s="8"/>
      <c r="I816" s="9"/>
      <c r="J816" s="9"/>
      <c r="K816" s="1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7"/>
      <c r="B817" s="8"/>
      <c r="C817" s="8"/>
      <c r="D817" s="8"/>
      <c r="E817" s="8"/>
      <c r="F817" s="8"/>
      <c r="G817" s="8"/>
      <c r="H817" s="8"/>
      <c r="I817" s="9"/>
      <c r="J817" s="9"/>
      <c r="K817" s="1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7"/>
      <c r="B818" s="8"/>
      <c r="C818" s="8"/>
      <c r="D818" s="8"/>
      <c r="E818" s="8"/>
      <c r="F818" s="8"/>
      <c r="G818" s="8"/>
      <c r="H818" s="8"/>
      <c r="I818" s="9"/>
      <c r="J818" s="9"/>
      <c r="K818" s="18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7"/>
      <c r="B819" s="8"/>
      <c r="C819" s="8"/>
      <c r="D819" s="8"/>
      <c r="E819" s="8"/>
      <c r="F819" s="8"/>
      <c r="G819" s="8"/>
      <c r="H819" s="8"/>
      <c r="I819" s="9"/>
      <c r="J819" s="9"/>
      <c r="K819" s="1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7"/>
      <c r="B820" s="8"/>
      <c r="C820" s="8"/>
      <c r="D820" s="8"/>
      <c r="E820" s="8"/>
      <c r="F820" s="8"/>
      <c r="G820" s="8"/>
      <c r="H820" s="8"/>
      <c r="I820" s="9"/>
      <c r="J820" s="9"/>
      <c r="K820" s="1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7"/>
      <c r="B821" s="8"/>
      <c r="C821" s="8"/>
      <c r="D821" s="8"/>
      <c r="E821" s="8"/>
      <c r="F821" s="8"/>
      <c r="G821" s="8"/>
      <c r="H821" s="8"/>
      <c r="I821" s="9"/>
      <c r="J821" s="9"/>
      <c r="K821" s="1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7"/>
      <c r="B822" s="8"/>
      <c r="C822" s="8"/>
      <c r="D822" s="8"/>
      <c r="E822" s="8"/>
      <c r="F822" s="8"/>
      <c r="G822" s="8"/>
      <c r="H822" s="8"/>
      <c r="I822" s="9"/>
      <c r="J822" s="9"/>
      <c r="K822" s="1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7"/>
      <c r="B823" s="8"/>
      <c r="C823" s="8"/>
      <c r="D823" s="8"/>
      <c r="E823" s="8"/>
      <c r="F823" s="8"/>
      <c r="G823" s="8"/>
      <c r="H823" s="8"/>
      <c r="I823" s="9"/>
      <c r="J823" s="9"/>
      <c r="K823" s="1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7"/>
      <c r="B824" s="8"/>
      <c r="C824" s="8"/>
      <c r="D824" s="8"/>
      <c r="E824" s="8"/>
      <c r="F824" s="8"/>
      <c r="G824" s="8"/>
      <c r="H824" s="8"/>
      <c r="I824" s="9"/>
      <c r="J824" s="9"/>
      <c r="K824" s="1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7"/>
      <c r="B825" s="8"/>
      <c r="C825" s="8"/>
      <c r="D825" s="8"/>
      <c r="E825" s="8"/>
      <c r="F825" s="8"/>
      <c r="G825" s="8"/>
      <c r="H825" s="8"/>
      <c r="I825" s="9"/>
      <c r="J825" s="9"/>
      <c r="K825" s="1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7"/>
      <c r="B826" s="8"/>
      <c r="C826" s="8"/>
      <c r="D826" s="8"/>
      <c r="E826" s="8"/>
      <c r="F826" s="8"/>
      <c r="G826" s="8"/>
      <c r="H826" s="8"/>
      <c r="I826" s="9"/>
      <c r="J826" s="9"/>
      <c r="K826" s="1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7"/>
      <c r="B827" s="8"/>
      <c r="C827" s="8"/>
      <c r="D827" s="8"/>
      <c r="E827" s="8"/>
      <c r="F827" s="8"/>
      <c r="G827" s="8"/>
      <c r="H827" s="8"/>
      <c r="I827" s="9"/>
      <c r="J827" s="9"/>
      <c r="K827" s="1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7"/>
      <c r="B828" s="8"/>
      <c r="C828" s="8"/>
      <c r="D828" s="8"/>
      <c r="E828" s="8"/>
      <c r="F828" s="8"/>
      <c r="G828" s="8"/>
      <c r="H828" s="8"/>
      <c r="I828" s="9"/>
      <c r="J828" s="9"/>
      <c r="K828" s="1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7"/>
      <c r="B829" s="8"/>
      <c r="C829" s="8"/>
      <c r="D829" s="8"/>
      <c r="E829" s="8"/>
      <c r="F829" s="8"/>
      <c r="G829" s="8"/>
      <c r="H829" s="8"/>
      <c r="I829" s="9"/>
      <c r="J829" s="9"/>
      <c r="K829" s="1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7"/>
      <c r="B830" s="8"/>
      <c r="C830" s="8"/>
      <c r="D830" s="8"/>
      <c r="E830" s="8"/>
      <c r="F830" s="8"/>
      <c r="G830" s="8"/>
      <c r="H830" s="8"/>
      <c r="I830" s="9"/>
      <c r="J830" s="9"/>
      <c r="K830" s="1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7"/>
      <c r="B831" s="8"/>
      <c r="C831" s="8"/>
      <c r="D831" s="8"/>
      <c r="E831" s="8"/>
      <c r="F831" s="8"/>
      <c r="G831" s="8"/>
      <c r="H831" s="8"/>
      <c r="I831" s="9"/>
      <c r="J831" s="9"/>
      <c r="K831" s="1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7"/>
      <c r="B832" s="8"/>
      <c r="C832" s="8"/>
      <c r="D832" s="8"/>
      <c r="E832" s="8"/>
      <c r="F832" s="8"/>
      <c r="G832" s="8"/>
      <c r="H832" s="8"/>
      <c r="I832" s="9"/>
      <c r="J832" s="9"/>
      <c r="K832" s="1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7"/>
      <c r="B833" s="8"/>
      <c r="C833" s="8"/>
      <c r="D833" s="8"/>
      <c r="E833" s="8"/>
      <c r="F833" s="8"/>
      <c r="G833" s="8"/>
      <c r="H833" s="8"/>
      <c r="I833" s="9"/>
      <c r="J833" s="9"/>
      <c r="K833" s="1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7"/>
      <c r="B834" s="8"/>
      <c r="C834" s="8"/>
      <c r="D834" s="8"/>
      <c r="E834" s="8"/>
      <c r="F834" s="8"/>
      <c r="G834" s="8"/>
      <c r="H834" s="8"/>
      <c r="I834" s="9"/>
      <c r="J834" s="9"/>
      <c r="K834" s="1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7"/>
      <c r="B835" s="8"/>
      <c r="C835" s="8"/>
      <c r="D835" s="8"/>
      <c r="E835" s="8"/>
      <c r="F835" s="8"/>
      <c r="G835" s="8"/>
      <c r="H835" s="8"/>
      <c r="I835" s="9"/>
      <c r="J835" s="9"/>
      <c r="K835" s="1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7"/>
      <c r="B836" s="8"/>
      <c r="C836" s="8"/>
      <c r="D836" s="8"/>
      <c r="E836" s="8"/>
      <c r="F836" s="8"/>
      <c r="G836" s="8"/>
      <c r="H836" s="8"/>
      <c r="I836" s="9"/>
      <c r="J836" s="9"/>
      <c r="K836" s="1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7"/>
      <c r="B837" s="8"/>
      <c r="C837" s="8"/>
      <c r="D837" s="8"/>
      <c r="E837" s="8"/>
      <c r="F837" s="8"/>
      <c r="G837" s="8"/>
      <c r="H837" s="8"/>
      <c r="I837" s="9"/>
      <c r="J837" s="9"/>
      <c r="K837" s="1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7"/>
      <c r="B838" s="8"/>
      <c r="C838" s="8"/>
      <c r="D838" s="8"/>
      <c r="E838" s="8"/>
      <c r="F838" s="8"/>
      <c r="G838" s="8"/>
      <c r="H838" s="8"/>
      <c r="I838" s="9"/>
      <c r="J838" s="9"/>
      <c r="K838" s="1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7"/>
      <c r="B839" s="8"/>
      <c r="C839" s="8"/>
      <c r="D839" s="8"/>
      <c r="E839" s="8"/>
      <c r="F839" s="8"/>
      <c r="G839" s="8"/>
      <c r="H839" s="8"/>
      <c r="I839" s="9"/>
      <c r="J839" s="9"/>
      <c r="K839" s="1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7"/>
      <c r="B840" s="8"/>
      <c r="C840" s="8"/>
      <c r="D840" s="8"/>
      <c r="E840" s="8"/>
      <c r="F840" s="8"/>
      <c r="G840" s="8"/>
      <c r="H840" s="8"/>
      <c r="I840" s="9"/>
      <c r="J840" s="9"/>
      <c r="K840" s="1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7"/>
      <c r="B841" s="8"/>
      <c r="C841" s="8"/>
      <c r="D841" s="8"/>
      <c r="E841" s="8"/>
      <c r="F841" s="8"/>
      <c r="G841" s="8"/>
      <c r="H841" s="8"/>
      <c r="I841" s="9"/>
      <c r="J841" s="9"/>
      <c r="K841" s="1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7"/>
      <c r="B842" s="8"/>
      <c r="C842" s="8"/>
      <c r="D842" s="8"/>
      <c r="E842" s="8"/>
      <c r="F842" s="8"/>
      <c r="G842" s="8"/>
      <c r="H842" s="8"/>
      <c r="I842" s="9"/>
      <c r="J842" s="9"/>
      <c r="K842" s="1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7"/>
      <c r="B843" s="8"/>
      <c r="C843" s="8"/>
      <c r="D843" s="8"/>
      <c r="E843" s="8"/>
      <c r="F843" s="8"/>
      <c r="G843" s="8"/>
      <c r="H843" s="8"/>
      <c r="I843" s="9"/>
      <c r="J843" s="9"/>
      <c r="K843" s="1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7"/>
      <c r="B844" s="8"/>
      <c r="C844" s="8"/>
      <c r="D844" s="8"/>
      <c r="E844" s="8"/>
      <c r="F844" s="8"/>
      <c r="G844" s="8"/>
      <c r="H844" s="8"/>
      <c r="I844" s="9"/>
      <c r="J844" s="9"/>
      <c r="K844" s="1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7"/>
      <c r="B845" s="8"/>
      <c r="C845" s="8"/>
      <c r="D845" s="8"/>
      <c r="E845" s="8"/>
      <c r="F845" s="8"/>
      <c r="G845" s="8"/>
      <c r="H845" s="8"/>
      <c r="I845" s="9"/>
      <c r="J845" s="9"/>
      <c r="K845" s="1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7"/>
      <c r="B846" s="8"/>
      <c r="C846" s="8"/>
      <c r="D846" s="8"/>
      <c r="E846" s="8"/>
      <c r="F846" s="8"/>
      <c r="G846" s="8"/>
      <c r="H846" s="8"/>
      <c r="I846" s="9"/>
      <c r="J846" s="9"/>
      <c r="K846" s="1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7"/>
      <c r="B847" s="8"/>
      <c r="C847" s="8"/>
      <c r="D847" s="8"/>
      <c r="E847" s="8"/>
      <c r="F847" s="8"/>
      <c r="G847" s="8"/>
      <c r="H847" s="8"/>
      <c r="I847" s="9"/>
      <c r="J847" s="9"/>
      <c r="K847" s="1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7"/>
      <c r="B848" s="8"/>
      <c r="C848" s="8"/>
      <c r="D848" s="8"/>
      <c r="E848" s="8"/>
      <c r="F848" s="8"/>
      <c r="G848" s="8"/>
      <c r="H848" s="8"/>
      <c r="I848" s="9"/>
      <c r="J848" s="9"/>
      <c r="K848" s="1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7"/>
      <c r="B849" s="8"/>
      <c r="C849" s="8"/>
      <c r="D849" s="8"/>
      <c r="E849" s="8"/>
      <c r="F849" s="8"/>
      <c r="G849" s="8"/>
      <c r="H849" s="8"/>
      <c r="I849" s="9"/>
      <c r="J849" s="9"/>
      <c r="K849" s="1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7"/>
      <c r="B850" s="8"/>
      <c r="C850" s="8"/>
      <c r="D850" s="8"/>
      <c r="E850" s="8"/>
      <c r="F850" s="8"/>
      <c r="G850" s="8"/>
      <c r="H850" s="8"/>
      <c r="I850" s="9"/>
      <c r="J850" s="9"/>
      <c r="K850" s="1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7"/>
      <c r="B851" s="8"/>
      <c r="C851" s="8"/>
      <c r="D851" s="8"/>
      <c r="E851" s="8"/>
      <c r="F851" s="8"/>
      <c r="G851" s="8"/>
      <c r="H851" s="8"/>
      <c r="I851" s="9"/>
      <c r="J851" s="9"/>
      <c r="K851" s="1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7"/>
      <c r="B852" s="8"/>
      <c r="C852" s="8"/>
      <c r="D852" s="8"/>
      <c r="E852" s="8"/>
      <c r="F852" s="8"/>
      <c r="G852" s="8"/>
      <c r="H852" s="8"/>
      <c r="I852" s="9"/>
      <c r="J852" s="9"/>
      <c r="K852" s="1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7"/>
      <c r="B853" s="8"/>
      <c r="C853" s="8"/>
      <c r="D853" s="8"/>
      <c r="E853" s="8"/>
      <c r="F853" s="8"/>
      <c r="G853" s="8"/>
      <c r="H853" s="8"/>
      <c r="I853" s="9"/>
      <c r="J853" s="9"/>
      <c r="K853" s="1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7"/>
      <c r="B854" s="8"/>
      <c r="C854" s="8"/>
      <c r="D854" s="8"/>
      <c r="E854" s="8"/>
      <c r="F854" s="8"/>
      <c r="G854" s="8"/>
      <c r="H854" s="8"/>
      <c r="I854" s="9"/>
      <c r="J854" s="9"/>
      <c r="K854" s="1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7"/>
      <c r="B855" s="8"/>
      <c r="C855" s="8"/>
      <c r="D855" s="8"/>
      <c r="E855" s="8"/>
      <c r="F855" s="8"/>
      <c r="G855" s="8"/>
      <c r="H855" s="8"/>
      <c r="I855" s="9"/>
      <c r="J855" s="9"/>
      <c r="K855" s="1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7"/>
      <c r="B856" s="8"/>
      <c r="C856" s="8"/>
      <c r="D856" s="8"/>
      <c r="E856" s="8"/>
      <c r="F856" s="8"/>
      <c r="G856" s="8"/>
      <c r="H856" s="8"/>
      <c r="I856" s="9"/>
      <c r="J856" s="9"/>
      <c r="K856" s="1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7"/>
      <c r="B857" s="8"/>
      <c r="C857" s="8"/>
      <c r="D857" s="8"/>
      <c r="E857" s="8"/>
      <c r="F857" s="8"/>
      <c r="G857" s="8"/>
      <c r="H857" s="8"/>
      <c r="I857" s="9"/>
      <c r="J857" s="9"/>
      <c r="K857" s="1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7"/>
      <c r="B858" s="8"/>
      <c r="C858" s="8"/>
      <c r="D858" s="8"/>
      <c r="E858" s="8"/>
      <c r="F858" s="8"/>
      <c r="G858" s="8"/>
      <c r="H858" s="8"/>
      <c r="I858" s="9"/>
      <c r="J858" s="9"/>
      <c r="K858" s="1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7"/>
      <c r="B859" s="8"/>
      <c r="C859" s="8"/>
      <c r="D859" s="8"/>
      <c r="E859" s="8"/>
      <c r="F859" s="8"/>
      <c r="G859" s="8"/>
      <c r="H859" s="8"/>
      <c r="I859" s="9"/>
      <c r="J859" s="9"/>
      <c r="K859" s="1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7"/>
      <c r="B860" s="8"/>
      <c r="C860" s="8"/>
      <c r="D860" s="8"/>
      <c r="E860" s="8"/>
      <c r="F860" s="8"/>
      <c r="G860" s="8"/>
      <c r="H860" s="8"/>
      <c r="I860" s="9"/>
      <c r="J860" s="9"/>
      <c r="K860" s="1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7"/>
      <c r="B861" s="8"/>
      <c r="C861" s="8"/>
      <c r="D861" s="8"/>
      <c r="E861" s="8"/>
      <c r="F861" s="8"/>
      <c r="G861" s="8"/>
      <c r="H861" s="8"/>
      <c r="I861" s="9"/>
      <c r="J861" s="9"/>
      <c r="K861" s="1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7"/>
      <c r="B862" s="8"/>
      <c r="C862" s="8"/>
      <c r="D862" s="8"/>
      <c r="E862" s="8"/>
      <c r="F862" s="8"/>
      <c r="G862" s="8"/>
      <c r="H862" s="8"/>
      <c r="I862" s="9"/>
      <c r="J862" s="9"/>
      <c r="K862" s="1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7"/>
      <c r="B863" s="8"/>
      <c r="C863" s="8"/>
      <c r="D863" s="8"/>
      <c r="E863" s="8"/>
      <c r="F863" s="8"/>
      <c r="G863" s="8"/>
      <c r="H863" s="8"/>
      <c r="I863" s="9"/>
      <c r="J863" s="9"/>
      <c r="K863" s="1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7"/>
      <c r="B864" s="8"/>
      <c r="C864" s="8"/>
      <c r="D864" s="8"/>
      <c r="E864" s="8"/>
      <c r="F864" s="8"/>
      <c r="G864" s="8"/>
      <c r="H864" s="8"/>
      <c r="I864" s="9"/>
      <c r="J864" s="9"/>
      <c r="K864" s="1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7"/>
      <c r="B865" s="8"/>
      <c r="C865" s="8"/>
      <c r="D865" s="8"/>
      <c r="E865" s="8"/>
      <c r="F865" s="8"/>
      <c r="G865" s="8"/>
      <c r="H865" s="8"/>
      <c r="I865" s="9"/>
      <c r="J865" s="9"/>
      <c r="K865" s="1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7"/>
      <c r="B866" s="8"/>
      <c r="C866" s="8"/>
      <c r="D866" s="8"/>
      <c r="E866" s="8"/>
      <c r="F866" s="8"/>
      <c r="G866" s="8"/>
      <c r="H866" s="8"/>
      <c r="I866" s="9"/>
      <c r="J866" s="9"/>
      <c r="K866" s="1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7"/>
      <c r="B867" s="8"/>
      <c r="C867" s="8"/>
      <c r="D867" s="8"/>
      <c r="E867" s="8"/>
      <c r="F867" s="8"/>
      <c r="G867" s="8"/>
      <c r="H867" s="8"/>
      <c r="I867" s="9"/>
      <c r="J867" s="9"/>
      <c r="K867" s="1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7"/>
      <c r="B868" s="8"/>
      <c r="C868" s="8"/>
      <c r="D868" s="8"/>
      <c r="E868" s="8"/>
      <c r="F868" s="8"/>
      <c r="G868" s="8"/>
      <c r="H868" s="8"/>
      <c r="I868" s="9"/>
      <c r="J868" s="9"/>
      <c r="K868" s="1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7"/>
      <c r="B869" s="8"/>
      <c r="C869" s="8"/>
      <c r="D869" s="8"/>
      <c r="E869" s="8"/>
      <c r="F869" s="8"/>
      <c r="G869" s="8"/>
      <c r="H869" s="8"/>
      <c r="I869" s="9"/>
      <c r="J869" s="9"/>
      <c r="K869" s="1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7"/>
      <c r="B870" s="8"/>
      <c r="C870" s="8"/>
      <c r="D870" s="8"/>
      <c r="E870" s="8"/>
      <c r="F870" s="8"/>
      <c r="G870" s="8"/>
      <c r="H870" s="8"/>
      <c r="I870" s="9"/>
      <c r="J870" s="9"/>
      <c r="K870" s="1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7"/>
      <c r="B871" s="8"/>
      <c r="C871" s="8"/>
      <c r="D871" s="8"/>
      <c r="E871" s="8"/>
      <c r="F871" s="8"/>
      <c r="G871" s="8"/>
      <c r="H871" s="8"/>
      <c r="I871" s="9"/>
      <c r="J871" s="9"/>
      <c r="K871" s="1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7"/>
      <c r="B872" s="8"/>
      <c r="C872" s="8"/>
      <c r="D872" s="8"/>
      <c r="E872" s="8"/>
      <c r="F872" s="8"/>
      <c r="G872" s="8"/>
      <c r="H872" s="8"/>
      <c r="I872" s="9"/>
      <c r="J872" s="9"/>
      <c r="K872" s="1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7"/>
      <c r="B873" s="8"/>
      <c r="C873" s="8"/>
      <c r="D873" s="8"/>
      <c r="E873" s="8"/>
      <c r="F873" s="8"/>
      <c r="G873" s="8"/>
      <c r="H873" s="8"/>
      <c r="I873" s="9"/>
      <c r="J873" s="9"/>
      <c r="K873" s="1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7"/>
      <c r="B874" s="8"/>
      <c r="C874" s="8"/>
      <c r="D874" s="8"/>
      <c r="E874" s="8"/>
      <c r="F874" s="8"/>
      <c r="G874" s="8"/>
      <c r="H874" s="8"/>
      <c r="I874" s="9"/>
      <c r="J874" s="9"/>
      <c r="K874" s="1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7"/>
      <c r="B875" s="8"/>
      <c r="C875" s="8"/>
      <c r="D875" s="8"/>
      <c r="E875" s="8"/>
      <c r="F875" s="8"/>
      <c r="G875" s="8"/>
      <c r="H875" s="8"/>
      <c r="I875" s="9"/>
      <c r="J875" s="9"/>
      <c r="K875" s="1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7"/>
      <c r="B876" s="8"/>
      <c r="C876" s="8"/>
      <c r="D876" s="8"/>
      <c r="E876" s="8"/>
      <c r="F876" s="8"/>
      <c r="G876" s="8"/>
      <c r="H876" s="8"/>
      <c r="I876" s="9"/>
      <c r="J876" s="9"/>
      <c r="K876" s="1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7"/>
      <c r="B877" s="8"/>
      <c r="C877" s="8"/>
      <c r="D877" s="8"/>
      <c r="E877" s="8"/>
      <c r="F877" s="8"/>
      <c r="G877" s="8"/>
      <c r="H877" s="8"/>
      <c r="I877" s="9"/>
      <c r="J877" s="9"/>
      <c r="K877" s="1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7"/>
      <c r="B878" s="8"/>
      <c r="C878" s="8"/>
      <c r="D878" s="8"/>
      <c r="E878" s="8"/>
      <c r="F878" s="8"/>
      <c r="G878" s="8"/>
      <c r="H878" s="8"/>
      <c r="I878" s="9"/>
      <c r="J878" s="9"/>
      <c r="K878" s="1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7"/>
      <c r="B879" s="8"/>
      <c r="C879" s="8"/>
      <c r="D879" s="8"/>
      <c r="E879" s="8"/>
      <c r="F879" s="8"/>
      <c r="G879" s="8"/>
      <c r="H879" s="8"/>
      <c r="I879" s="9"/>
      <c r="J879" s="9"/>
      <c r="K879" s="1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7"/>
      <c r="B880" s="8"/>
      <c r="C880" s="8"/>
      <c r="D880" s="8"/>
      <c r="E880" s="8"/>
      <c r="F880" s="8"/>
      <c r="G880" s="8"/>
      <c r="H880" s="8"/>
      <c r="I880" s="9"/>
      <c r="J880" s="9"/>
      <c r="K880" s="1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7"/>
      <c r="B881" s="8"/>
      <c r="C881" s="8"/>
      <c r="D881" s="8"/>
      <c r="E881" s="8"/>
      <c r="F881" s="8"/>
      <c r="G881" s="8"/>
      <c r="H881" s="8"/>
      <c r="I881" s="9"/>
      <c r="J881" s="9"/>
      <c r="K881" s="1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7"/>
      <c r="B882" s="8"/>
      <c r="C882" s="8"/>
      <c r="D882" s="8"/>
      <c r="E882" s="8"/>
      <c r="F882" s="8"/>
      <c r="G882" s="8"/>
      <c r="H882" s="8"/>
      <c r="I882" s="9"/>
      <c r="J882" s="9"/>
      <c r="K882" s="1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7"/>
      <c r="B883" s="8"/>
      <c r="C883" s="8"/>
      <c r="D883" s="8"/>
      <c r="E883" s="8"/>
      <c r="F883" s="8"/>
      <c r="G883" s="8"/>
      <c r="H883" s="8"/>
      <c r="I883" s="9"/>
      <c r="J883" s="9"/>
      <c r="K883" s="1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7"/>
      <c r="B884" s="8"/>
      <c r="C884" s="8"/>
      <c r="D884" s="8"/>
      <c r="E884" s="8"/>
      <c r="F884" s="8"/>
      <c r="G884" s="8"/>
      <c r="H884" s="8"/>
      <c r="I884" s="9"/>
      <c r="J884" s="9"/>
      <c r="K884" s="1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7"/>
      <c r="B885" s="8"/>
      <c r="C885" s="8"/>
      <c r="D885" s="8"/>
      <c r="E885" s="8"/>
      <c r="F885" s="8"/>
      <c r="G885" s="8"/>
      <c r="H885" s="8"/>
      <c r="I885" s="9"/>
      <c r="J885" s="9"/>
      <c r="K885" s="1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7"/>
      <c r="B886" s="8"/>
      <c r="C886" s="8"/>
      <c r="D886" s="8"/>
      <c r="E886" s="8"/>
      <c r="F886" s="8"/>
      <c r="G886" s="8"/>
      <c r="H886" s="8"/>
      <c r="I886" s="9"/>
      <c r="J886" s="9"/>
      <c r="K886" s="1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7"/>
      <c r="B887" s="8"/>
      <c r="C887" s="8"/>
      <c r="D887" s="8"/>
      <c r="E887" s="8"/>
      <c r="F887" s="8"/>
      <c r="G887" s="8"/>
      <c r="H887" s="8"/>
      <c r="I887" s="9"/>
      <c r="J887" s="9"/>
      <c r="K887" s="1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7"/>
      <c r="B888" s="8"/>
      <c r="C888" s="8"/>
      <c r="D888" s="8"/>
      <c r="E888" s="8"/>
      <c r="F888" s="8"/>
      <c r="G888" s="8"/>
      <c r="H888" s="8"/>
      <c r="I888" s="9"/>
      <c r="J888" s="9"/>
      <c r="K888" s="1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7"/>
      <c r="B889" s="8"/>
      <c r="C889" s="8"/>
      <c r="D889" s="8"/>
      <c r="E889" s="8"/>
      <c r="F889" s="8"/>
      <c r="G889" s="8"/>
      <c r="H889" s="8"/>
      <c r="I889" s="9"/>
      <c r="J889" s="9"/>
      <c r="K889" s="1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7"/>
      <c r="B890" s="8"/>
      <c r="C890" s="8"/>
      <c r="D890" s="8"/>
      <c r="E890" s="8"/>
      <c r="F890" s="8"/>
      <c r="G890" s="8"/>
      <c r="H890" s="8"/>
      <c r="I890" s="9"/>
      <c r="J890" s="9"/>
      <c r="K890" s="1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7"/>
      <c r="B891" s="8"/>
      <c r="C891" s="8"/>
      <c r="D891" s="8"/>
      <c r="E891" s="8"/>
      <c r="F891" s="8"/>
      <c r="G891" s="8"/>
      <c r="H891" s="8"/>
      <c r="I891" s="9"/>
      <c r="J891" s="9"/>
      <c r="K891" s="1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7"/>
      <c r="B892" s="8"/>
      <c r="C892" s="8"/>
      <c r="D892" s="8"/>
      <c r="E892" s="8"/>
      <c r="F892" s="8"/>
      <c r="G892" s="8"/>
      <c r="H892" s="8"/>
      <c r="I892" s="9"/>
      <c r="J892" s="9"/>
      <c r="K892" s="1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7"/>
      <c r="B893" s="8"/>
      <c r="C893" s="8"/>
      <c r="D893" s="8"/>
      <c r="E893" s="8"/>
      <c r="F893" s="8"/>
      <c r="G893" s="8"/>
      <c r="H893" s="8"/>
      <c r="I893" s="9"/>
      <c r="J893" s="9"/>
      <c r="K893" s="1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7"/>
      <c r="B894" s="8"/>
      <c r="C894" s="8"/>
      <c r="D894" s="8"/>
      <c r="E894" s="8"/>
      <c r="F894" s="8"/>
      <c r="G894" s="8"/>
      <c r="H894" s="8"/>
      <c r="I894" s="9"/>
      <c r="J894" s="9"/>
      <c r="K894" s="1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7"/>
      <c r="B895" s="8"/>
      <c r="C895" s="8"/>
      <c r="D895" s="8"/>
      <c r="E895" s="8"/>
      <c r="F895" s="8"/>
      <c r="G895" s="8"/>
      <c r="H895" s="8"/>
      <c r="I895" s="9"/>
      <c r="J895" s="9"/>
      <c r="K895" s="1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7"/>
      <c r="B896" s="8"/>
      <c r="C896" s="8"/>
      <c r="D896" s="8"/>
      <c r="E896" s="8"/>
      <c r="F896" s="8"/>
      <c r="G896" s="8"/>
      <c r="H896" s="8"/>
      <c r="I896" s="9"/>
      <c r="J896" s="9"/>
      <c r="K896" s="1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7"/>
      <c r="B897" s="8"/>
      <c r="C897" s="8"/>
      <c r="D897" s="8"/>
      <c r="E897" s="8"/>
      <c r="F897" s="8"/>
      <c r="G897" s="8"/>
      <c r="H897" s="8"/>
      <c r="I897" s="9"/>
      <c r="J897" s="9"/>
      <c r="K897" s="1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7"/>
      <c r="B898" s="8"/>
      <c r="C898" s="8"/>
      <c r="D898" s="8"/>
      <c r="E898" s="8"/>
      <c r="F898" s="8"/>
      <c r="G898" s="8"/>
      <c r="H898" s="8"/>
      <c r="I898" s="9"/>
      <c r="J898" s="9"/>
      <c r="K898" s="1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7"/>
      <c r="B899" s="8"/>
      <c r="C899" s="8"/>
      <c r="D899" s="8"/>
      <c r="E899" s="8"/>
      <c r="F899" s="8"/>
      <c r="G899" s="8"/>
      <c r="H899" s="8"/>
      <c r="I899" s="9"/>
      <c r="J899" s="9"/>
      <c r="K899" s="1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7"/>
      <c r="B900" s="8"/>
      <c r="C900" s="8"/>
      <c r="D900" s="8"/>
      <c r="E900" s="8"/>
      <c r="F900" s="8"/>
      <c r="G900" s="8"/>
      <c r="H900" s="8"/>
      <c r="I900" s="9"/>
      <c r="J900" s="9"/>
      <c r="K900" s="1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7"/>
      <c r="B901" s="8"/>
      <c r="C901" s="8"/>
      <c r="D901" s="8"/>
      <c r="E901" s="8"/>
      <c r="F901" s="8"/>
      <c r="G901" s="8"/>
      <c r="H901" s="8"/>
      <c r="I901" s="9"/>
      <c r="J901" s="9"/>
      <c r="K901" s="1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7"/>
      <c r="B902" s="8"/>
      <c r="C902" s="8"/>
      <c r="D902" s="8"/>
      <c r="E902" s="8"/>
      <c r="F902" s="8"/>
      <c r="G902" s="8"/>
      <c r="H902" s="8"/>
      <c r="I902" s="9"/>
      <c r="J902" s="9"/>
      <c r="K902" s="1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7"/>
      <c r="B903" s="8"/>
      <c r="C903" s="8"/>
      <c r="D903" s="8"/>
      <c r="E903" s="8"/>
      <c r="F903" s="8"/>
      <c r="G903" s="8"/>
      <c r="H903" s="8"/>
      <c r="I903" s="9"/>
      <c r="J903" s="9"/>
      <c r="K903" s="1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7"/>
      <c r="B904" s="8"/>
      <c r="C904" s="8"/>
      <c r="D904" s="8"/>
      <c r="E904" s="8"/>
      <c r="F904" s="8"/>
      <c r="G904" s="8"/>
      <c r="H904" s="8"/>
      <c r="I904" s="9"/>
      <c r="J904" s="9"/>
      <c r="K904" s="1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7"/>
      <c r="B905" s="8"/>
      <c r="C905" s="8"/>
      <c r="D905" s="8"/>
      <c r="E905" s="8"/>
      <c r="F905" s="8"/>
      <c r="G905" s="8"/>
      <c r="H905" s="8"/>
      <c r="I905" s="9"/>
      <c r="J905" s="9"/>
      <c r="K905" s="1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7"/>
      <c r="B906" s="8"/>
      <c r="C906" s="8"/>
      <c r="D906" s="8"/>
      <c r="E906" s="8"/>
      <c r="F906" s="8"/>
      <c r="G906" s="8"/>
      <c r="H906" s="8"/>
      <c r="I906" s="9"/>
      <c r="J906" s="9"/>
      <c r="K906" s="1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7"/>
      <c r="B907" s="8"/>
      <c r="C907" s="8"/>
      <c r="D907" s="8"/>
      <c r="E907" s="8"/>
      <c r="F907" s="8"/>
      <c r="G907" s="8"/>
      <c r="H907" s="8"/>
      <c r="I907" s="9"/>
      <c r="J907" s="9"/>
      <c r="K907" s="1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7"/>
      <c r="B908" s="8"/>
      <c r="C908" s="8"/>
      <c r="D908" s="8"/>
      <c r="E908" s="8"/>
      <c r="F908" s="8"/>
      <c r="G908" s="8"/>
      <c r="H908" s="8"/>
      <c r="I908" s="9"/>
      <c r="J908" s="9"/>
      <c r="K908" s="1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7"/>
      <c r="B909" s="8"/>
      <c r="C909" s="8"/>
      <c r="D909" s="8"/>
      <c r="E909" s="8"/>
      <c r="F909" s="8"/>
      <c r="G909" s="8"/>
      <c r="H909" s="8"/>
      <c r="I909" s="9"/>
      <c r="J909" s="9"/>
      <c r="K909" s="1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7"/>
      <c r="B910" s="8"/>
      <c r="C910" s="8"/>
      <c r="D910" s="8"/>
      <c r="E910" s="8"/>
      <c r="F910" s="8"/>
      <c r="G910" s="8"/>
      <c r="H910" s="8"/>
      <c r="I910" s="9"/>
      <c r="J910" s="9"/>
      <c r="K910" s="1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7"/>
      <c r="B911" s="8"/>
      <c r="C911" s="8"/>
      <c r="D911" s="8"/>
      <c r="E911" s="8"/>
      <c r="F911" s="8"/>
      <c r="G911" s="8"/>
      <c r="H911" s="8"/>
      <c r="I911" s="9"/>
      <c r="J911" s="9"/>
      <c r="K911" s="1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7"/>
      <c r="B912" s="8"/>
      <c r="C912" s="8"/>
      <c r="D912" s="8"/>
      <c r="E912" s="8"/>
      <c r="F912" s="8"/>
      <c r="G912" s="8"/>
      <c r="H912" s="8"/>
      <c r="I912" s="9"/>
      <c r="J912" s="9"/>
      <c r="K912" s="1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7"/>
      <c r="B913" s="8"/>
      <c r="C913" s="8"/>
      <c r="D913" s="8"/>
      <c r="E913" s="8"/>
      <c r="F913" s="8"/>
      <c r="G913" s="8"/>
      <c r="H913" s="8"/>
      <c r="I913" s="9"/>
      <c r="J913" s="9"/>
      <c r="K913" s="1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7"/>
      <c r="B914" s="8"/>
      <c r="C914" s="8"/>
      <c r="D914" s="8"/>
      <c r="E914" s="8"/>
      <c r="F914" s="8"/>
      <c r="G914" s="8"/>
      <c r="H914" s="8"/>
      <c r="I914" s="9"/>
      <c r="J914" s="9"/>
      <c r="K914" s="1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7"/>
      <c r="B915" s="8"/>
      <c r="C915" s="8"/>
      <c r="D915" s="8"/>
      <c r="E915" s="8"/>
      <c r="F915" s="8"/>
      <c r="G915" s="8"/>
      <c r="H915" s="8"/>
      <c r="I915" s="9"/>
      <c r="J915" s="9"/>
      <c r="K915" s="1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7"/>
      <c r="B916" s="8"/>
      <c r="C916" s="8"/>
      <c r="D916" s="8"/>
      <c r="E916" s="8"/>
      <c r="F916" s="8"/>
      <c r="G916" s="8"/>
      <c r="H916" s="8"/>
      <c r="I916" s="9"/>
      <c r="J916" s="9"/>
      <c r="K916" s="1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7"/>
      <c r="B917" s="8"/>
      <c r="C917" s="8"/>
      <c r="D917" s="8"/>
      <c r="E917" s="8"/>
      <c r="F917" s="8"/>
      <c r="G917" s="8"/>
      <c r="H917" s="8"/>
      <c r="I917" s="9"/>
      <c r="J917" s="9"/>
      <c r="K917" s="1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7"/>
      <c r="B918" s="8"/>
      <c r="C918" s="8"/>
      <c r="D918" s="8"/>
      <c r="E918" s="8"/>
      <c r="F918" s="8"/>
      <c r="G918" s="8"/>
      <c r="H918" s="8"/>
      <c r="I918" s="9"/>
      <c r="J918" s="9"/>
      <c r="K918" s="1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7"/>
      <c r="B919" s="8"/>
      <c r="C919" s="8"/>
      <c r="D919" s="8"/>
      <c r="E919" s="8"/>
      <c r="F919" s="8"/>
      <c r="G919" s="8"/>
      <c r="H919" s="8"/>
      <c r="I919" s="9"/>
      <c r="J919" s="9"/>
      <c r="K919" s="1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7"/>
      <c r="B920" s="8"/>
      <c r="C920" s="8"/>
      <c r="D920" s="8"/>
      <c r="E920" s="8"/>
      <c r="F920" s="8"/>
      <c r="G920" s="8"/>
      <c r="H920" s="8"/>
      <c r="I920" s="9"/>
      <c r="J920" s="9"/>
      <c r="K920" s="1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7"/>
      <c r="B921" s="8"/>
      <c r="C921" s="8"/>
      <c r="D921" s="8"/>
      <c r="E921" s="8"/>
      <c r="F921" s="8"/>
      <c r="G921" s="8"/>
      <c r="H921" s="8"/>
      <c r="I921" s="9"/>
      <c r="J921" s="9"/>
      <c r="K921" s="1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7"/>
      <c r="B922" s="8"/>
      <c r="C922" s="8"/>
      <c r="D922" s="8"/>
      <c r="E922" s="8"/>
      <c r="F922" s="8"/>
      <c r="G922" s="8"/>
      <c r="H922" s="8"/>
      <c r="I922" s="9"/>
      <c r="J922" s="9"/>
      <c r="K922" s="1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7"/>
      <c r="B923" s="8"/>
      <c r="C923" s="8"/>
      <c r="D923" s="8"/>
      <c r="E923" s="8"/>
      <c r="F923" s="8"/>
      <c r="G923" s="8"/>
      <c r="H923" s="8"/>
      <c r="I923" s="9"/>
      <c r="J923" s="9"/>
      <c r="K923" s="1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7"/>
      <c r="B924" s="8"/>
      <c r="C924" s="8"/>
      <c r="D924" s="8"/>
      <c r="E924" s="8"/>
      <c r="F924" s="8"/>
      <c r="G924" s="8"/>
      <c r="H924" s="8"/>
      <c r="I924" s="9"/>
      <c r="J924" s="9"/>
      <c r="K924" s="1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7"/>
      <c r="B925" s="8"/>
      <c r="C925" s="8"/>
      <c r="D925" s="8"/>
      <c r="E925" s="8"/>
      <c r="F925" s="8"/>
      <c r="G925" s="8"/>
      <c r="H925" s="8"/>
      <c r="I925" s="9"/>
      <c r="J925" s="9"/>
      <c r="K925" s="1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7"/>
      <c r="B926" s="8"/>
      <c r="C926" s="8"/>
      <c r="D926" s="8"/>
      <c r="E926" s="8"/>
      <c r="F926" s="8"/>
      <c r="G926" s="8"/>
      <c r="H926" s="8"/>
      <c r="I926" s="9"/>
      <c r="J926" s="9"/>
      <c r="K926" s="1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7"/>
      <c r="B927" s="8"/>
      <c r="C927" s="8"/>
      <c r="D927" s="8"/>
      <c r="E927" s="8"/>
      <c r="F927" s="8"/>
      <c r="G927" s="8"/>
      <c r="H927" s="8"/>
      <c r="I927" s="9"/>
      <c r="J927" s="9"/>
      <c r="K927" s="1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7"/>
      <c r="B928" s="8"/>
      <c r="C928" s="8"/>
      <c r="D928" s="8"/>
      <c r="E928" s="8"/>
      <c r="F928" s="8"/>
      <c r="G928" s="8"/>
      <c r="H928" s="8"/>
      <c r="I928" s="9"/>
      <c r="J928" s="9"/>
      <c r="K928" s="1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7"/>
      <c r="B929" s="8"/>
      <c r="C929" s="8"/>
      <c r="D929" s="8"/>
      <c r="E929" s="8"/>
      <c r="F929" s="8"/>
      <c r="G929" s="8"/>
      <c r="H929" s="8"/>
      <c r="I929" s="9"/>
      <c r="J929" s="9"/>
      <c r="K929" s="1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7"/>
      <c r="B930" s="8"/>
      <c r="C930" s="8"/>
      <c r="D930" s="8"/>
      <c r="E930" s="8"/>
      <c r="F930" s="8"/>
      <c r="G930" s="8"/>
      <c r="H930" s="8"/>
      <c r="I930" s="9"/>
      <c r="J930" s="9"/>
      <c r="K930" s="1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7"/>
      <c r="B931" s="8"/>
      <c r="C931" s="8"/>
      <c r="D931" s="8"/>
      <c r="E931" s="8"/>
      <c r="F931" s="8"/>
      <c r="G931" s="8"/>
      <c r="H931" s="8"/>
      <c r="I931" s="9"/>
      <c r="J931" s="9"/>
      <c r="K931" s="1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7"/>
      <c r="B932" s="8"/>
      <c r="C932" s="8"/>
      <c r="D932" s="8"/>
      <c r="E932" s="8"/>
      <c r="F932" s="8"/>
      <c r="G932" s="8"/>
      <c r="H932" s="8"/>
      <c r="I932" s="9"/>
      <c r="J932" s="9"/>
      <c r="K932" s="1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7"/>
      <c r="B933" s="8"/>
      <c r="C933" s="8"/>
      <c r="D933" s="8"/>
      <c r="E933" s="8"/>
      <c r="F933" s="8"/>
      <c r="G933" s="8"/>
      <c r="H933" s="8"/>
      <c r="I933" s="9"/>
      <c r="J933" s="9"/>
      <c r="K933" s="1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7"/>
      <c r="B934" s="8"/>
      <c r="C934" s="8"/>
      <c r="D934" s="8"/>
      <c r="E934" s="8"/>
      <c r="F934" s="8"/>
      <c r="G934" s="8"/>
      <c r="H934" s="8"/>
      <c r="I934" s="9"/>
      <c r="J934" s="9"/>
      <c r="K934" s="1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7"/>
      <c r="B935" s="8"/>
      <c r="C935" s="8"/>
      <c r="D935" s="8"/>
      <c r="E935" s="8"/>
      <c r="F935" s="8"/>
      <c r="G935" s="8"/>
      <c r="H935" s="8"/>
      <c r="I935" s="9"/>
      <c r="J935" s="9"/>
      <c r="K935" s="1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7"/>
      <c r="B936" s="8"/>
      <c r="C936" s="8"/>
      <c r="D936" s="8"/>
      <c r="E936" s="8"/>
      <c r="F936" s="8"/>
      <c r="G936" s="8"/>
      <c r="H936" s="8"/>
      <c r="I936" s="9"/>
      <c r="J936" s="9"/>
      <c r="K936" s="1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7"/>
      <c r="B937" s="8"/>
      <c r="C937" s="8"/>
      <c r="D937" s="8"/>
      <c r="E937" s="8"/>
      <c r="F937" s="8"/>
      <c r="G937" s="8"/>
      <c r="H937" s="8"/>
      <c r="I937" s="9"/>
      <c r="J937" s="9"/>
      <c r="K937" s="1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7"/>
      <c r="B938" s="8"/>
      <c r="C938" s="8"/>
      <c r="D938" s="8"/>
      <c r="E938" s="8"/>
      <c r="F938" s="8"/>
      <c r="G938" s="8"/>
      <c r="H938" s="8"/>
      <c r="I938" s="9"/>
      <c r="J938" s="9"/>
      <c r="K938" s="1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7"/>
      <c r="B939" s="8"/>
      <c r="C939" s="8"/>
      <c r="D939" s="8"/>
      <c r="E939" s="8"/>
      <c r="F939" s="8"/>
      <c r="G939" s="8"/>
      <c r="H939" s="8"/>
      <c r="I939" s="9"/>
      <c r="J939" s="9"/>
      <c r="K939" s="1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7"/>
      <c r="B940" s="8"/>
      <c r="C940" s="8"/>
      <c r="D940" s="8"/>
      <c r="E940" s="8"/>
      <c r="F940" s="8"/>
      <c r="G940" s="8"/>
      <c r="H940" s="8"/>
      <c r="I940" s="9"/>
      <c r="J940" s="9"/>
      <c r="K940" s="1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7"/>
      <c r="B941" s="8"/>
      <c r="C941" s="8"/>
      <c r="D941" s="8"/>
      <c r="E941" s="8"/>
      <c r="F941" s="8"/>
      <c r="G941" s="8"/>
      <c r="H941" s="8"/>
      <c r="I941" s="9"/>
      <c r="J941" s="9"/>
      <c r="K941" s="1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7"/>
      <c r="B942" s="8"/>
      <c r="C942" s="8"/>
      <c r="D942" s="8"/>
      <c r="E942" s="8"/>
      <c r="F942" s="8"/>
      <c r="G942" s="8"/>
      <c r="H942" s="8"/>
      <c r="I942" s="9"/>
      <c r="J942" s="9"/>
      <c r="K942" s="1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7"/>
      <c r="B943" s="8"/>
      <c r="C943" s="8"/>
      <c r="D943" s="8"/>
      <c r="E943" s="8"/>
      <c r="F943" s="8"/>
      <c r="G943" s="8"/>
      <c r="H943" s="8"/>
      <c r="I943" s="9"/>
      <c r="J943" s="9"/>
      <c r="K943" s="1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7"/>
      <c r="B944" s="8"/>
      <c r="C944" s="8"/>
      <c r="D944" s="8"/>
      <c r="E944" s="8"/>
      <c r="F944" s="8"/>
      <c r="G944" s="8"/>
      <c r="H944" s="8"/>
      <c r="I944" s="9"/>
      <c r="J944" s="9"/>
      <c r="K944" s="1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7"/>
      <c r="B945" s="8"/>
      <c r="C945" s="8"/>
      <c r="D945" s="8"/>
      <c r="E945" s="8"/>
      <c r="F945" s="8"/>
      <c r="G945" s="8"/>
      <c r="H945" s="8"/>
      <c r="I945" s="9"/>
      <c r="J945" s="9"/>
      <c r="K945" s="1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7"/>
      <c r="B946" s="8"/>
      <c r="C946" s="8"/>
      <c r="D946" s="8"/>
      <c r="E946" s="8"/>
      <c r="F946" s="8"/>
      <c r="G946" s="8"/>
      <c r="H946" s="8"/>
      <c r="I946" s="9"/>
      <c r="J946" s="9"/>
      <c r="K946" s="1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7"/>
      <c r="B947" s="8"/>
      <c r="C947" s="8"/>
      <c r="D947" s="8"/>
      <c r="E947" s="8"/>
      <c r="F947" s="8"/>
      <c r="G947" s="8"/>
      <c r="H947" s="8"/>
      <c r="I947" s="9"/>
      <c r="J947" s="9"/>
      <c r="K947" s="1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7"/>
      <c r="B948" s="8"/>
      <c r="C948" s="8"/>
      <c r="D948" s="8"/>
      <c r="E948" s="8"/>
      <c r="F948" s="8"/>
      <c r="G948" s="8"/>
      <c r="H948" s="8"/>
      <c r="I948" s="9"/>
      <c r="J948" s="9"/>
      <c r="K948" s="1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7"/>
      <c r="B949" s="8"/>
      <c r="C949" s="8"/>
      <c r="D949" s="8"/>
      <c r="E949" s="8"/>
      <c r="F949" s="8"/>
      <c r="G949" s="8"/>
      <c r="H949" s="8"/>
      <c r="I949" s="9"/>
      <c r="J949" s="9"/>
      <c r="K949" s="1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7"/>
      <c r="B950" s="8"/>
      <c r="C950" s="8"/>
      <c r="D950" s="8"/>
      <c r="E950" s="8"/>
      <c r="F950" s="8"/>
      <c r="G950" s="8"/>
      <c r="H950" s="8"/>
      <c r="I950" s="9"/>
      <c r="J950" s="9"/>
      <c r="K950" s="1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7"/>
      <c r="B951" s="8"/>
      <c r="C951" s="8"/>
      <c r="D951" s="8"/>
      <c r="E951" s="8"/>
      <c r="F951" s="8"/>
      <c r="G951" s="8"/>
      <c r="H951" s="8"/>
      <c r="I951" s="9"/>
      <c r="J951" s="9"/>
      <c r="K951" s="1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7"/>
      <c r="B952" s="8"/>
      <c r="C952" s="8"/>
      <c r="D952" s="8"/>
      <c r="E952" s="8"/>
      <c r="F952" s="8"/>
      <c r="G952" s="8"/>
      <c r="H952" s="8"/>
      <c r="I952" s="9"/>
      <c r="J952" s="9"/>
      <c r="K952" s="1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7"/>
      <c r="B953" s="8"/>
      <c r="C953" s="8"/>
      <c r="D953" s="8"/>
      <c r="E953" s="8"/>
      <c r="F953" s="8"/>
      <c r="G953" s="8"/>
      <c r="H953" s="8"/>
      <c r="I953" s="9"/>
      <c r="J953" s="9"/>
      <c r="K953" s="1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7"/>
      <c r="B954" s="8"/>
      <c r="C954" s="8"/>
      <c r="D954" s="8"/>
      <c r="E954" s="8"/>
      <c r="F954" s="8"/>
      <c r="G954" s="8"/>
      <c r="H954" s="8"/>
      <c r="I954" s="9"/>
      <c r="J954" s="9"/>
      <c r="K954" s="1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7"/>
      <c r="B955" s="8"/>
      <c r="C955" s="8"/>
      <c r="D955" s="8"/>
      <c r="E955" s="8"/>
      <c r="F955" s="8"/>
      <c r="G955" s="8"/>
      <c r="H955" s="8"/>
      <c r="I955" s="9"/>
      <c r="J955" s="9"/>
      <c r="K955" s="1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7"/>
      <c r="B956" s="8"/>
      <c r="C956" s="8"/>
      <c r="D956" s="8"/>
      <c r="E956" s="8"/>
      <c r="F956" s="8"/>
      <c r="G956" s="8"/>
      <c r="H956" s="8"/>
      <c r="I956" s="9"/>
      <c r="J956" s="9"/>
      <c r="K956" s="1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7"/>
      <c r="B957" s="8"/>
      <c r="C957" s="8"/>
      <c r="D957" s="8"/>
      <c r="E957" s="8"/>
      <c r="F957" s="8"/>
      <c r="G957" s="8"/>
      <c r="H957" s="8"/>
      <c r="I957" s="9"/>
      <c r="J957" s="9"/>
      <c r="K957" s="1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7"/>
      <c r="B958" s="8"/>
      <c r="C958" s="8"/>
      <c r="D958" s="8"/>
      <c r="E958" s="8"/>
      <c r="F958" s="8"/>
      <c r="G958" s="8"/>
      <c r="H958" s="8"/>
      <c r="I958" s="9"/>
      <c r="J958" s="9"/>
      <c r="K958" s="1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7"/>
      <c r="B959" s="8"/>
      <c r="C959" s="8"/>
      <c r="D959" s="8"/>
      <c r="E959" s="8"/>
      <c r="F959" s="8"/>
      <c r="G959" s="8"/>
      <c r="H959" s="8"/>
      <c r="I959" s="9"/>
      <c r="J959" s="9"/>
      <c r="K959" s="1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7"/>
      <c r="B960" s="8"/>
      <c r="C960" s="8"/>
      <c r="D960" s="8"/>
      <c r="E960" s="8"/>
      <c r="F960" s="8"/>
      <c r="G960" s="8"/>
      <c r="H960" s="8"/>
      <c r="I960" s="9"/>
      <c r="J960" s="9"/>
      <c r="K960" s="1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7"/>
      <c r="B961" s="8"/>
      <c r="C961" s="8"/>
      <c r="D961" s="8"/>
      <c r="E961" s="8"/>
      <c r="F961" s="8"/>
      <c r="G961" s="8"/>
      <c r="H961" s="8"/>
      <c r="I961" s="9"/>
      <c r="J961" s="9"/>
      <c r="K961" s="1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7"/>
      <c r="B962" s="8"/>
      <c r="C962" s="8"/>
      <c r="D962" s="8"/>
      <c r="E962" s="8"/>
      <c r="F962" s="8"/>
      <c r="G962" s="8"/>
      <c r="H962" s="8"/>
      <c r="I962" s="9"/>
      <c r="J962" s="9"/>
      <c r="K962" s="1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7"/>
      <c r="B963" s="8"/>
      <c r="C963" s="8"/>
      <c r="D963" s="8"/>
      <c r="E963" s="8"/>
      <c r="F963" s="8"/>
      <c r="G963" s="8"/>
      <c r="H963" s="8"/>
      <c r="I963" s="9"/>
      <c r="J963" s="9"/>
      <c r="K963" s="1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7"/>
      <c r="B964" s="8"/>
      <c r="C964" s="8"/>
      <c r="D964" s="8"/>
      <c r="E964" s="8"/>
      <c r="F964" s="8"/>
      <c r="G964" s="8"/>
      <c r="H964" s="8"/>
      <c r="I964" s="9"/>
      <c r="J964" s="9"/>
      <c r="K964" s="1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7"/>
      <c r="B965" s="8"/>
      <c r="C965" s="8"/>
      <c r="D965" s="8"/>
      <c r="E965" s="8"/>
      <c r="F965" s="8"/>
      <c r="G965" s="8"/>
      <c r="H965" s="8"/>
      <c r="I965" s="9"/>
      <c r="J965" s="9"/>
      <c r="K965" s="1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7"/>
      <c r="B966" s="8"/>
      <c r="C966" s="8"/>
      <c r="D966" s="8"/>
      <c r="E966" s="8"/>
      <c r="F966" s="8"/>
      <c r="G966" s="8"/>
      <c r="H966" s="8"/>
      <c r="I966" s="9"/>
      <c r="J966" s="9"/>
      <c r="K966" s="1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7"/>
      <c r="B967" s="8"/>
      <c r="C967" s="8"/>
      <c r="D967" s="8"/>
      <c r="E967" s="8"/>
      <c r="F967" s="8"/>
      <c r="G967" s="8"/>
      <c r="H967" s="8"/>
      <c r="I967" s="9"/>
      <c r="J967" s="9"/>
      <c r="K967" s="1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7"/>
      <c r="B968" s="8"/>
      <c r="C968" s="8"/>
      <c r="D968" s="8"/>
      <c r="E968" s="8"/>
      <c r="F968" s="8"/>
      <c r="G968" s="8"/>
      <c r="H968" s="8"/>
      <c r="I968" s="9"/>
      <c r="J968" s="9"/>
      <c r="K968" s="1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7"/>
      <c r="B969" s="8"/>
      <c r="C969" s="8"/>
      <c r="D969" s="8"/>
      <c r="E969" s="8"/>
      <c r="F969" s="8"/>
      <c r="G969" s="8"/>
      <c r="H969" s="8"/>
      <c r="I969" s="9"/>
      <c r="J969" s="9"/>
      <c r="K969" s="1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7"/>
      <c r="B970" s="8"/>
      <c r="C970" s="8"/>
      <c r="D970" s="8"/>
      <c r="E970" s="8"/>
      <c r="F970" s="8"/>
      <c r="G970" s="8"/>
      <c r="H970" s="8"/>
      <c r="I970" s="9"/>
      <c r="J970" s="9"/>
      <c r="K970" s="1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7"/>
      <c r="B971" s="8"/>
      <c r="C971" s="8"/>
      <c r="D971" s="8"/>
      <c r="E971" s="8"/>
      <c r="F971" s="8"/>
      <c r="G971" s="8"/>
      <c r="H971" s="8"/>
      <c r="I971" s="9"/>
      <c r="J971" s="9"/>
      <c r="K971" s="1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7"/>
      <c r="B972" s="8"/>
      <c r="C972" s="8"/>
      <c r="D972" s="8"/>
      <c r="E972" s="8"/>
      <c r="F972" s="8"/>
      <c r="G972" s="8"/>
      <c r="H972" s="8"/>
      <c r="I972" s="9"/>
      <c r="J972" s="9"/>
      <c r="K972" s="1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7"/>
      <c r="B973" s="8"/>
      <c r="C973" s="8"/>
      <c r="D973" s="8"/>
      <c r="E973" s="8"/>
      <c r="F973" s="8"/>
      <c r="G973" s="8"/>
      <c r="H973" s="8"/>
      <c r="I973" s="9"/>
      <c r="J973" s="9"/>
      <c r="K973" s="1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7"/>
      <c r="B974" s="8"/>
      <c r="C974" s="8"/>
      <c r="D974" s="8"/>
      <c r="E974" s="8"/>
      <c r="F974" s="8"/>
      <c r="G974" s="8"/>
      <c r="H974" s="8"/>
      <c r="I974" s="9"/>
      <c r="J974" s="9"/>
      <c r="K974" s="1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7"/>
      <c r="B975" s="8"/>
      <c r="C975" s="8"/>
      <c r="D975" s="8"/>
      <c r="E975" s="8"/>
      <c r="F975" s="8"/>
      <c r="G975" s="8"/>
      <c r="H975" s="8"/>
      <c r="I975" s="9"/>
      <c r="J975" s="9"/>
      <c r="K975" s="1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7"/>
      <c r="B976" s="8"/>
      <c r="C976" s="8"/>
      <c r="D976" s="8"/>
      <c r="E976" s="8"/>
      <c r="F976" s="8"/>
      <c r="G976" s="8"/>
      <c r="H976" s="8"/>
      <c r="I976" s="9"/>
      <c r="J976" s="9"/>
      <c r="K976" s="1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7"/>
      <c r="B977" s="8"/>
      <c r="C977" s="8"/>
      <c r="D977" s="8"/>
      <c r="E977" s="8"/>
      <c r="F977" s="8"/>
      <c r="G977" s="8"/>
      <c r="H977" s="8"/>
      <c r="I977" s="9"/>
      <c r="J977" s="9"/>
      <c r="K977" s="1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7"/>
      <c r="B978" s="8"/>
      <c r="C978" s="8"/>
      <c r="D978" s="8"/>
      <c r="E978" s="8"/>
      <c r="F978" s="8"/>
      <c r="G978" s="8"/>
      <c r="H978" s="8"/>
      <c r="I978" s="9"/>
      <c r="J978" s="9"/>
      <c r="K978" s="1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7"/>
      <c r="B979" s="8"/>
      <c r="C979" s="8"/>
      <c r="D979" s="8"/>
      <c r="E979" s="8"/>
      <c r="F979" s="8"/>
      <c r="G979" s="8"/>
      <c r="H979" s="8"/>
      <c r="I979" s="9"/>
      <c r="J979" s="9"/>
      <c r="K979" s="1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7"/>
      <c r="B980" s="8"/>
      <c r="C980" s="8"/>
      <c r="D980" s="8"/>
      <c r="E980" s="8"/>
      <c r="F980" s="8"/>
      <c r="G980" s="8"/>
      <c r="H980" s="8"/>
      <c r="I980" s="9"/>
      <c r="J980" s="9"/>
      <c r="K980" s="1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7"/>
      <c r="B981" s="8"/>
      <c r="C981" s="8"/>
      <c r="D981" s="8"/>
      <c r="E981" s="8"/>
      <c r="F981" s="8"/>
      <c r="G981" s="8"/>
      <c r="H981" s="8"/>
      <c r="I981" s="9"/>
      <c r="J981" s="9"/>
      <c r="K981" s="1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7"/>
      <c r="B982" s="8"/>
      <c r="C982" s="8"/>
      <c r="D982" s="8"/>
      <c r="E982" s="8"/>
      <c r="F982" s="8"/>
      <c r="G982" s="8"/>
      <c r="H982" s="8"/>
      <c r="I982" s="9"/>
      <c r="J982" s="9"/>
      <c r="K982" s="1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7"/>
      <c r="B983" s="8"/>
      <c r="C983" s="8"/>
      <c r="D983" s="8"/>
      <c r="E983" s="8"/>
      <c r="F983" s="8"/>
      <c r="G983" s="8"/>
      <c r="H983" s="8"/>
      <c r="I983" s="9"/>
      <c r="J983" s="9"/>
      <c r="K983" s="1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7"/>
      <c r="B984" s="8"/>
      <c r="C984" s="8"/>
      <c r="D984" s="8"/>
      <c r="E984" s="8"/>
      <c r="F984" s="8"/>
      <c r="G984" s="8"/>
      <c r="H984" s="8"/>
      <c r="I984" s="9"/>
      <c r="J984" s="9"/>
      <c r="K984" s="1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7"/>
      <c r="B985" s="8"/>
      <c r="C985" s="8"/>
      <c r="D985" s="8"/>
      <c r="E985" s="8"/>
      <c r="F985" s="8"/>
      <c r="G985" s="8"/>
      <c r="H985" s="8"/>
      <c r="I985" s="9"/>
      <c r="J985" s="9"/>
      <c r="K985" s="1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7"/>
      <c r="B986" s="8"/>
      <c r="C986" s="8"/>
      <c r="D986" s="8"/>
      <c r="E986" s="8"/>
      <c r="F986" s="8"/>
      <c r="G986" s="8"/>
      <c r="H986" s="8"/>
      <c r="I986" s="9"/>
      <c r="J986" s="9"/>
      <c r="K986" s="1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7"/>
      <c r="B987" s="8"/>
      <c r="C987" s="8"/>
      <c r="D987" s="8"/>
      <c r="E987" s="8"/>
      <c r="F987" s="8"/>
      <c r="G987" s="8"/>
      <c r="H987" s="8"/>
      <c r="I987" s="9"/>
      <c r="J987" s="9"/>
      <c r="K987" s="1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7"/>
      <c r="B988" s="8"/>
      <c r="C988" s="8"/>
      <c r="D988" s="8"/>
      <c r="E988" s="8"/>
      <c r="F988" s="8"/>
      <c r="G988" s="8"/>
      <c r="H988" s="8"/>
      <c r="I988" s="9"/>
      <c r="J988" s="9"/>
      <c r="K988" s="1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7"/>
      <c r="B989" s="8"/>
      <c r="C989" s="8"/>
      <c r="D989" s="8"/>
      <c r="E989" s="8"/>
      <c r="F989" s="8"/>
      <c r="G989" s="8"/>
      <c r="H989" s="8"/>
      <c r="I989" s="9"/>
      <c r="J989" s="9"/>
      <c r="K989" s="1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7"/>
      <c r="B990" s="8"/>
      <c r="C990" s="8"/>
      <c r="D990" s="8"/>
      <c r="E990" s="8"/>
      <c r="F990" s="8"/>
      <c r="G990" s="8"/>
      <c r="H990" s="8"/>
      <c r="I990" s="9"/>
      <c r="J990" s="9"/>
      <c r="K990" s="1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7"/>
      <c r="B991" s="8"/>
      <c r="C991" s="8"/>
      <c r="D991" s="8"/>
      <c r="E991" s="8"/>
      <c r="F991" s="8"/>
      <c r="G991" s="8"/>
      <c r="H991" s="8"/>
      <c r="I991" s="9"/>
      <c r="J991" s="9"/>
      <c r="K991" s="1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7"/>
      <c r="B992" s="8"/>
      <c r="C992" s="8"/>
      <c r="D992" s="8"/>
      <c r="E992" s="8"/>
      <c r="F992" s="8"/>
      <c r="G992" s="8"/>
      <c r="H992" s="8"/>
      <c r="I992" s="9"/>
      <c r="J992" s="9"/>
      <c r="K992" s="1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7"/>
      <c r="B993" s="8"/>
      <c r="C993" s="8"/>
      <c r="D993" s="8"/>
      <c r="E993" s="8"/>
      <c r="F993" s="8"/>
      <c r="G993" s="8"/>
      <c r="H993" s="8"/>
      <c r="I993" s="9"/>
      <c r="J993" s="9"/>
      <c r="K993" s="1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7"/>
      <c r="B994" s="8"/>
      <c r="C994" s="8"/>
      <c r="D994" s="8"/>
      <c r="E994" s="8"/>
      <c r="F994" s="8"/>
      <c r="G994" s="8"/>
      <c r="H994" s="8"/>
      <c r="I994" s="9"/>
      <c r="J994" s="9"/>
      <c r="K994" s="1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7"/>
      <c r="B995" s="8"/>
      <c r="C995" s="8"/>
      <c r="D995" s="8"/>
      <c r="E995" s="8"/>
      <c r="F995" s="8"/>
      <c r="G995" s="8"/>
      <c r="H995" s="8"/>
      <c r="I995" s="9"/>
      <c r="J995" s="9"/>
      <c r="K995" s="1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7"/>
      <c r="B996" s="8"/>
      <c r="C996" s="8"/>
      <c r="D996" s="8"/>
      <c r="E996" s="8"/>
      <c r="F996" s="8"/>
      <c r="G996" s="8"/>
      <c r="H996" s="8"/>
      <c r="I996" s="9"/>
      <c r="J996" s="9"/>
      <c r="K996" s="1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7"/>
      <c r="B997" s="8"/>
      <c r="C997" s="8"/>
      <c r="D997" s="8"/>
      <c r="E997" s="8"/>
      <c r="F997" s="8"/>
      <c r="G997" s="8"/>
      <c r="H997" s="8"/>
      <c r="I997" s="9"/>
      <c r="J997" s="9"/>
      <c r="K997" s="1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7"/>
      <c r="B998" s="8"/>
      <c r="C998" s="8"/>
      <c r="D998" s="8"/>
      <c r="E998" s="8"/>
      <c r="F998" s="8"/>
      <c r="G998" s="8"/>
      <c r="H998" s="8"/>
      <c r="I998" s="9"/>
      <c r="J998" s="9"/>
      <c r="K998" s="1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7"/>
      <c r="B999" s="8"/>
      <c r="C999" s="8"/>
      <c r="D999" s="8"/>
      <c r="E999" s="8"/>
      <c r="F999" s="8"/>
      <c r="G999" s="8"/>
      <c r="H999" s="8"/>
      <c r="I999" s="9"/>
      <c r="J999" s="9"/>
      <c r="K999" s="1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7"/>
      <c r="B1000" s="8"/>
      <c r="C1000" s="8"/>
      <c r="D1000" s="8"/>
      <c r="E1000" s="8"/>
      <c r="F1000" s="8"/>
      <c r="G1000" s="8"/>
      <c r="H1000" s="8"/>
      <c r="I1000" s="9"/>
      <c r="J1000" s="9"/>
      <c r="K1000" s="1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7"/>
      <c r="B1001" s="8"/>
      <c r="C1001" s="8"/>
      <c r="D1001" s="8"/>
      <c r="E1001" s="8"/>
      <c r="F1001" s="8"/>
      <c r="G1001" s="8"/>
      <c r="H1001" s="8"/>
      <c r="I1001" s="9"/>
      <c r="J1001" s="9"/>
      <c r="K1001" s="18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7"/>
      <c r="B1002" s="8"/>
      <c r="C1002" s="8"/>
      <c r="D1002" s="8"/>
      <c r="E1002" s="8"/>
      <c r="F1002" s="8"/>
      <c r="G1002" s="8"/>
      <c r="H1002" s="8"/>
      <c r="I1002" s="9"/>
      <c r="J1002" s="9"/>
      <c r="K1002" s="18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7"/>
      <c r="B1003" s="8"/>
      <c r="C1003" s="8"/>
      <c r="D1003" s="8"/>
      <c r="E1003" s="8"/>
      <c r="F1003" s="8"/>
      <c r="G1003" s="8"/>
      <c r="H1003" s="8"/>
      <c r="I1003" s="9"/>
      <c r="J1003" s="9"/>
      <c r="K1003" s="1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7"/>
      <c r="B1004" s="8"/>
      <c r="C1004" s="8"/>
      <c r="D1004" s="8"/>
      <c r="E1004" s="8"/>
      <c r="F1004" s="8"/>
      <c r="G1004" s="8"/>
      <c r="H1004" s="8"/>
      <c r="I1004" s="9"/>
      <c r="J1004" s="9"/>
      <c r="K1004" s="1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7"/>
      <c r="B1005" s="8"/>
      <c r="C1005" s="8"/>
      <c r="D1005" s="8"/>
      <c r="E1005" s="8"/>
      <c r="F1005" s="8"/>
      <c r="G1005" s="8"/>
      <c r="H1005" s="8"/>
      <c r="I1005" s="9"/>
      <c r="J1005" s="9"/>
      <c r="K1005" s="1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7"/>
      <c r="B1006" s="8"/>
      <c r="C1006" s="8"/>
      <c r="D1006" s="8"/>
      <c r="E1006" s="8"/>
      <c r="F1006" s="8"/>
      <c r="G1006" s="8"/>
      <c r="H1006" s="8"/>
      <c r="I1006" s="9"/>
      <c r="J1006" s="9"/>
      <c r="K1006" s="1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7"/>
      <c r="B1007" s="8"/>
      <c r="C1007" s="8"/>
      <c r="D1007" s="8"/>
      <c r="E1007" s="8"/>
      <c r="F1007" s="8"/>
      <c r="G1007" s="8"/>
      <c r="H1007" s="8"/>
      <c r="I1007" s="9"/>
      <c r="J1007" s="9"/>
      <c r="K1007" s="1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7"/>
      <c r="B1008" s="8"/>
      <c r="C1008" s="8"/>
      <c r="D1008" s="8"/>
      <c r="E1008" s="8"/>
      <c r="F1008" s="8"/>
      <c r="G1008" s="8"/>
      <c r="H1008" s="8"/>
      <c r="I1008" s="9"/>
      <c r="J1008" s="9"/>
      <c r="K1008" s="1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7"/>
      <c r="B1009" s="8"/>
      <c r="C1009" s="8"/>
      <c r="D1009" s="8"/>
      <c r="E1009" s="8"/>
      <c r="F1009" s="8"/>
      <c r="G1009" s="8"/>
      <c r="H1009" s="8"/>
      <c r="I1009" s="9"/>
      <c r="J1009" s="9"/>
      <c r="K1009" s="1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7"/>
      <c r="B1010" s="8"/>
      <c r="C1010" s="8"/>
      <c r="D1010" s="8"/>
      <c r="E1010" s="8"/>
      <c r="F1010" s="8"/>
      <c r="G1010" s="8"/>
      <c r="H1010" s="8"/>
      <c r="I1010" s="9"/>
      <c r="J1010" s="9"/>
      <c r="K1010" s="1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7"/>
      <c r="B1011" s="8"/>
      <c r="C1011" s="8"/>
      <c r="D1011" s="8"/>
      <c r="E1011" s="8"/>
      <c r="F1011" s="8"/>
      <c r="G1011" s="8"/>
      <c r="H1011" s="8"/>
      <c r="I1011" s="9"/>
      <c r="J1011" s="9"/>
      <c r="K1011" s="1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7"/>
      <c r="B1012" s="8"/>
      <c r="C1012" s="8"/>
      <c r="D1012" s="8"/>
      <c r="E1012" s="8"/>
      <c r="F1012" s="8"/>
      <c r="G1012" s="8"/>
      <c r="H1012" s="8"/>
      <c r="I1012" s="9"/>
      <c r="J1012" s="9"/>
      <c r="K1012" s="1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7"/>
      <c r="B1013" s="8"/>
      <c r="C1013" s="8"/>
      <c r="D1013" s="8"/>
      <c r="E1013" s="8"/>
      <c r="F1013" s="8"/>
      <c r="G1013" s="8"/>
      <c r="H1013" s="8"/>
      <c r="I1013" s="9"/>
      <c r="J1013" s="9"/>
      <c r="K1013" s="1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7"/>
      <c r="B1014" s="8"/>
      <c r="C1014" s="8"/>
      <c r="D1014" s="8"/>
      <c r="E1014" s="8"/>
      <c r="F1014" s="8"/>
      <c r="G1014" s="8"/>
      <c r="H1014" s="8"/>
      <c r="I1014" s="9"/>
      <c r="J1014" s="9"/>
      <c r="K1014" s="1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7"/>
      <c r="B1015" s="8"/>
      <c r="C1015" s="8"/>
      <c r="D1015" s="8"/>
      <c r="E1015" s="8"/>
      <c r="F1015" s="8"/>
      <c r="G1015" s="8"/>
      <c r="H1015" s="8"/>
      <c r="I1015" s="9"/>
      <c r="J1015" s="9"/>
      <c r="K1015" s="1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7"/>
      <c r="B1016" s="8"/>
      <c r="C1016" s="8"/>
      <c r="D1016" s="8"/>
      <c r="E1016" s="8"/>
      <c r="F1016" s="8"/>
      <c r="G1016" s="8"/>
      <c r="H1016" s="8"/>
      <c r="I1016" s="9"/>
      <c r="J1016" s="9"/>
      <c r="K1016" s="1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7"/>
      <c r="B1017" s="8"/>
      <c r="C1017" s="8"/>
      <c r="D1017" s="8"/>
      <c r="E1017" s="8"/>
      <c r="F1017" s="8"/>
      <c r="G1017" s="8"/>
      <c r="H1017" s="8"/>
      <c r="I1017" s="9"/>
      <c r="J1017" s="9"/>
      <c r="K1017" s="1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7"/>
      <c r="B1018" s="8"/>
      <c r="C1018" s="8"/>
      <c r="D1018" s="8"/>
      <c r="E1018" s="8"/>
      <c r="F1018" s="8"/>
      <c r="G1018" s="8"/>
      <c r="H1018" s="8"/>
      <c r="I1018" s="9"/>
      <c r="J1018" s="9"/>
      <c r="K1018" s="1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7"/>
      <c r="B1019" s="8"/>
      <c r="C1019" s="8"/>
      <c r="D1019" s="8"/>
      <c r="E1019" s="8"/>
      <c r="F1019" s="8"/>
      <c r="G1019" s="8"/>
      <c r="H1019" s="8"/>
      <c r="I1019" s="9"/>
      <c r="J1019" s="9"/>
      <c r="K1019" s="18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7"/>
      <c r="B1020" s="8"/>
      <c r="C1020" s="8"/>
      <c r="D1020" s="8"/>
      <c r="E1020" s="8"/>
      <c r="F1020" s="8"/>
      <c r="G1020" s="8"/>
      <c r="H1020" s="8"/>
      <c r="I1020" s="9"/>
      <c r="J1020" s="9"/>
      <c r="K1020" s="18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7"/>
      <c r="B1021" s="8"/>
      <c r="C1021" s="8"/>
      <c r="D1021" s="8"/>
      <c r="E1021" s="8"/>
      <c r="F1021" s="8"/>
      <c r="G1021" s="8"/>
      <c r="H1021" s="8"/>
      <c r="I1021" s="9"/>
      <c r="J1021" s="9"/>
      <c r="K1021" s="18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7"/>
      <c r="B1022" s="8"/>
      <c r="C1022" s="8"/>
      <c r="D1022" s="8"/>
      <c r="E1022" s="8"/>
      <c r="F1022" s="8"/>
      <c r="G1022" s="8"/>
      <c r="H1022" s="8"/>
      <c r="I1022" s="9"/>
      <c r="J1022" s="9"/>
      <c r="K1022" s="18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7"/>
      <c r="B1023" s="8"/>
      <c r="C1023" s="8"/>
      <c r="D1023" s="8"/>
      <c r="E1023" s="8"/>
      <c r="F1023" s="8"/>
      <c r="G1023" s="8"/>
      <c r="H1023" s="8"/>
      <c r="I1023" s="9"/>
      <c r="J1023" s="9"/>
      <c r="K1023" s="18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7"/>
      <c r="B1024" s="8"/>
      <c r="C1024" s="8"/>
      <c r="D1024" s="8"/>
      <c r="E1024" s="8"/>
      <c r="F1024" s="8"/>
      <c r="G1024" s="8"/>
      <c r="H1024" s="8"/>
      <c r="I1024" s="9"/>
      <c r="J1024" s="9"/>
      <c r="K1024" s="18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7"/>
      <c r="B1025" s="8"/>
      <c r="C1025" s="8"/>
      <c r="D1025" s="8"/>
      <c r="E1025" s="8"/>
      <c r="F1025" s="8"/>
      <c r="G1025" s="8"/>
      <c r="H1025" s="8"/>
      <c r="I1025" s="9"/>
      <c r="J1025" s="9"/>
      <c r="K1025" s="18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7"/>
      <c r="B1026" s="8"/>
      <c r="C1026" s="8"/>
      <c r="D1026" s="8"/>
      <c r="E1026" s="8"/>
      <c r="F1026" s="8"/>
      <c r="G1026" s="8"/>
      <c r="H1026" s="8"/>
      <c r="I1026" s="9"/>
      <c r="J1026" s="9"/>
      <c r="K1026" s="18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7"/>
      <c r="B1027" s="8"/>
      <c r="C1027" s="8"/>
      <c r="D1027" s="8"/>
      <c r="E1027" s="8"/>
      <c r="F1027" s="8"/>
      <c r="G1027" s="8"/>
      <c r="H1027" s="8"/>
      <c r="I1027" s="9"/>
      <c r="J1027" s="9"/>
      <c r="K1027" s="18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7"/>
      <c r="B1028" s="8"/>
      <c r="C1028" s="8"/>
      <c r="D1028" s="8"/>
      <c r="E1028" s="8"/>
      <c r="F1028" s="8"/>
      <c r="G1028" s="8"/>
      <c r="H1028" s="8"/>
      <c r="I1028" s="9"/>
      <c r="J1028" s="9"/>
      <c r="K1028" s="1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7"/>
      <c r="B1029" s="8"/>
      <c r="C1029" s="8"/>
      <c r="D1029" s="8"/>
      <c r="E1029" s="8"/>
      <c r="F1029" s="8"/>
      <c r="G1029" s="8"/>
      <c r="H1029" s="8"/>
      <c r="I1029" s="9"/>
      <c r="J1029" s="9"/>
      <c r="K1029" s="1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7"/>
      <c r="B1030" s="8"/>
      <c r="C1030" s="8"/>
      <c r="D1030" s="8"/>
      <c r="E1030" s="8"/>
      <c r="F1030" s="8"/>
      <c r="G1030" s="8"/>
      <c r="H1030" s="8"/>
      <c r="I1030" s="9"/>
      <c r="J1030" s="9"/>
      <c r="K1030" s="1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7"/>
      <c r="B1031" s="8"/>
      <c r="C1031" s="8"/>
      <c r="D1031" s="8"/>
      <c r="E1031" s="8"/>
      <c r="F1031" s="8"/>
      <c r="G1031" s="8"/>
      <c r="H1031" s="8"/>
      <c r="I1031" s="9"/>
      <c r="J1031" s="9"/>
      <c r="K1031" s="18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7"/>
      <c r="B1032" s="8"/>
      <c r="C1032" s="8"/>
      <c r="D1032" s="8"/>
      <c r="E1032" s="8"/>
      <c r="F1032" s="8"/>
      <c r="G1032" s="8"/>
      <c r="H1032" s="8"/>
      <c r="I1032" s="9"/>
      <c r="J1032" s="9"/>
      <c r="K1032" s="18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7"/>
      <c r="B1033" s="8"/>
      <c r="C1033" s="8"/>
      <c r="D1033" s="8"/>
      <c r="E1033" s="8"/>
      <c r="F1033" s="8"/>
      <c r="G1033" s="8"/>
      <c r="H1033" s="8"/>
      <c r="I1033" s="9"/>
      <c r="J1033" s="9"/>
      <c r="K1033" s="18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7"/>
      <c r="B1034" s="8"/>
      <c r="C1034" s="8"/>
      <c r="D1034" s="8"/>
      <c r="E1034" s="8"/>
      <c r="F1034" s="8"/>
      <c r="G1034" s="8"/>
      <c r="H1034" s="8"/>
      <c r="I1034" s="9"/>
      <c r="J1034" s="9"/>
      <c r="K1034" s="18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7"/>
      <c r="B1035" s="8"/>
      <c r="C1035" s="8"/>
      <c r="D1035" s="8"/>
      <c r="E1035" s="8"/>
      <c r="F1035" s="8"/>
      <c r="G1035" s="8"/>
      <c r="H1035" s="8"/>
      <c r="I1035" s="9"/>
      <c r="J1035" s="9"/>
      <c r="K1035" s="18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7"/>
      <c r="B1036" s="8"/>
      <c r="C1036" s="8"/>
      <c r="D1036" s="8"/>
      <c r="E1036" s="8"/>
      <c r="F1036" s="8"/>
      <c r="G1036" s="8"/>
      <c r="H1036" s="8"/>
      <c r="I1036" s="9"/>
      <c r="J1036" s="9"/>
      <c r="K1036" s="18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7"/>
      <c r="B1037" s="8"/>
      <c r="C1037" s="8"/>
      <c r="D1037" s="8"/>
      <c r="E1037" s="8"/>
      <c r="F1037" s="8"/>
      <c r="G1037" s="8"/>
      <c r="H1037" s="8"/>
      <c r="I1037" s="9"/>
      <c r="J1037" s="9"/>
      <c r="K1037" s="18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7"/>
      <c r="B1038" s="8"/>
      <c r="C1038" s="8"/>
      <c r="D1038" s="8"/>
      <c r="E1038" s="8"/>
      <c r="F1038" s="8"/>
      <c r="G1038" s="8"/>
      <c r="H1038" s="8"/>
      <c r="I1038" s="9"/>
      <c r="J1038" s="9"/>
      <c r="K1038" s="18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7"/>
      <c r="B1039" s="8"/>
      <c r="C1039" s="8"/>
      <c r="D1039" s="8"/>
      <c r="E1039" s="8"/>
      <c r="F1039" s="8"/>
      <c r="G1039" s="8"/>
      <c r="H1039" s="8"/>
      <c r="I1039" s="9"/>
      <c r="J1039" s="9"/>
      <c r="K1039" s="18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7"/>
      <c r="B1040" s="8"/>
      <c r="C1040" s="8"/>
      <c r="D1040" s="8"/>
      <c r="E1040" s="8"/>
      <c r="F1040" s="8"/>
      <c r="G1040" s="8"/>
      <c r="H1040" s="8"/>
      <c r="I1040" s="9"/>
      <c r="J1040" s="9"/>
      <c r="K1040" s="18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7"/>
      <c r="B1041" s="8"/>
      <c r="C1041" s="8"/>
      <c r="D1041" s="8"/>
      <c r="E1041" s="8"/>
      <c r="F1041" s="8"/>
      <c r="G1041" s="8"/>
      <c r="H1041" s="8"/>
      <c r="I1041" s="9"/>
      <c r="J1041" s="9"/>
      <c r="K1041" s="18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7"/>
      <c r="B1042" s="8"/>
      <c r="C1042" s="8"/>
      <c r="D1042" s="8"/>
      <c r="E1042" s="8"/>
      <c r="F1042" s="8"/>
      <c r="G1042" s="8"/>
      <c r="H1042" s="8"/>
      <c r="I1042" s="9"/>
      <c r="J1042" s="9"/>
      <c r="K1042" s="18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7"/>
      <c r="B1043" s="8"/>
      <c r="C1043" s="8"/>
      <c r="D1043" s="8"/>
      <c r="E1043" s="8"/>
      <c r="F1043" s="8"/>
      <c r="G1043" s="8"/>
      <c r="H1043" s="8"/>
      <c r="I1043" s="9"/>
      <c r="J1043" s="9"/>
      <c r="K1043" s="18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7"/>
      <c r="B1044" s="8"/>
      <c r="C1044" s="8"/>
      <c r="D1044" s="8"/>
      <c r="E1044" s="8"/>
      <c r="F1044" s="8"/>
      <c r="G1044" s="8"/>
      <c r="H1044" s="8"/>
      <c r="I1044" s="9"/>
      <c r="J1044" s="9"/>
      <c r="K1044" s="18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7"/>
      <c r="B1045" s="8"/>
      <c r="C1045" s="8"/>
      <c r="D1045" s="8"/>
      <c r="E1045" s="8"/>
      <c r="F1045" s="8"/>
      <c r="G1045" s="8"/>
      <c r="H1045" s="8"/>
      <c r="I1045" s="9"/>
      <c r="J1045" s="9"/>
      <c r="K1045" s="18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7"/>
      <c r="B1046" s="8"/>
      <c r="C1046" s="8"/>
      <c r="D1046" s="8"/>
      <c r="E1046" s="8"/>
      <c r="F1046" s="8"/>
      <c r="G1046" s="8"/>
      <c r="H1046" s="8"/>
      <c r="I1046" s="9"/>
      <c r="J1046" s="9"/>
      <c r="K1046" s="18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7"/>
      <c r="B1047" s="8"/>
      <c r="C1047" s="8"/>
      <c r="D1047" s="8"/>
      <c r="E1047" s="8"/>
      <c r="F1047" s="8"/>
      <c r="G1047" s="8"/>
      <c r="H1047" s="8"/>
      <c r="I1047" s="9"/>
      <c r="J1047" s="9"/>
      <c r="K1047" s="18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7"/>
      <c r="B1048" s="8"/>
      <c r="C1048" s="8"/>
      <c r="D1048" s="8"/>
      <c r="E1048" s="8"/>
      <c r="F1048" s="8"/>
      <c r="G1048" s="8"/>
      <c r="H1048" s="8"/>
      <c r="I1048" s="9"/>
      <c r="J1048" s="9"/>
      <c r="K1048" s="1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7"/>
      <c r="B1049" s="8"/>
      <c r="C1049" s="8"/>
      <c r="D1049" s="8"/>
      <c r="E1049" s="8"/>
      <c r="F1049" s="8"/>
      <c r="G1049" s="8"/>
      <c r="H1049" s="8"/>
      <c r="I1049" s="9"/>
      <c r="J1049" s="9"/>
      <c r="K1049" s="1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7"/>
      <c r="B1050" s="8"/>
      <c r="C1050" s="8"/>
      <c r="D1050" s="8"/>
      <c r="E1050" s="8"/>
      <c r="F1050" s="8"/>
      <c r="G1050" s="8"/>
      <c r="H1050" s="8"/>
      <c r="I1050" s="9"/>
      <c r="J1050" s="9"/>
      <c r="K1050" s="1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7"/>
      <c r="B1051" s="8"/>
      <c r="C1051" s="8"/>
      <c r="D1051" s="8"/>
      <c r="E1051" s="8"/>
      <c r="F1051" s="8"/>
      <c r="G1051" s="8"/>
      <c r="H1051" s="8"/>
      <c r="I1051" s="9"/>
      <c r="J1051" s="9"/>
      <c r="K1051" s="1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7"/>
      <c r="B1052" s="8"/>
      <c r="C1052" s="8"/>
      <c r="D1052" s="8"/>
      <c r="E1052" s="8"/>
      <c r="F1052" s="8"/>
      <c r="G1052" s="8"/>
      <c r="H1052" s="8"/>
      <c r="I1052" s="9"/>
      <c r="J1052" s="9"/>
      <c r="K1052" s="18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7"/>
      <c r="B1053" s="8"/>
      <c r="C1053" s="8"/>
      <c r="D1053" s="8"/>
      <c r="E1053" s="8"/>
      <c r="F1053" s="8"/>
      <c r="G1053" s="8"/>
      <c r="H1053" s="8"/>
      <c r="I1053" s="9"/>
      <c r="J1053" s="9"/>
      <c r="K1053" s="18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7"/>
      <c r="B1054" s="8"/>
      <c r="C1054" s="8"/>
      <c r="D1054" s="8"/>
      <c r="E1054" s="8"/>
      <c r="F1054" s="8"/>
      <c r="G1054" s="8"/>
      <c r="H1054" s="8"/>
      <c r="I1054" s="9"/>
      <c r="J1054" s="9"/>
      <c r="K1054" s="18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7"/>
      <c r="B1055" s="8"/>
      <c r="C1055" s="8"/>
      <c r="D1055" s="8"/>
      <c r="E1055" s="8"/>
      <c r="F1055" s="8"/>
      <c r="G1055" s="8"/>
      <c r="H1055" s="8"/>
      <c r="I1055" s="9"/>
      <c r="J1055" s="9"/>
      <c r="K1055" s="18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7"/>
      <c r="B1056" s="8"/>
      <c r="C1056" s="8"/>
      <c r="D1056" s="8"/>
      <c r="E1056" s="8"/>
      <c r="F1056" s="8"/>
      <c r="G1056" s="8"/>
      <c r="H1056" s="8"/>
      <c r="I1056" s="9"/>
      <c r="J1056" s="9"/>
      <c r="K1056" s="18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7"/>
      <c r="B1057" s="8"/>
      <c r="C1057" s="8"/>
      <c r="D1057" s="8"/>
      <c r="E1057" s="8"/>
      <c r="F1057" s="8"/>
      <c r="G1057" s="8"/>
      <c r="H1057" s="8"/>
      <c r="I1057" s="9"/>
      <c r="J1057" s="9"/>
      <c r="K1057" s="18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7"/>
      <c r="B1058" s="8"/>
      <c r="C1058" s="8"/>
      <c r="D1058" s="8"/>
      <c r="E1058" s="8"/>
      <c r="F1058" s="8"/>
      <c r="G1058" s="8"/>
      <c r="H1058" s="8"/>
      <c r="I1058" s="9"/>
      <c r="J1058" s="9"/>
      <c r="K1058" s="18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7"/>
      <c r="B1059" s="8"/>
      <c r="C1059" s="8"/>
      <c r="D1059" s="8"/>
      <c r="E1059" s="8"/>
      <c r="F1059" s="8"/>
      <c r="G1059" s="8"/>
      <c r="H1059" s="8"/>
      <c r="I1059" s="9"/>
      <c r="J1059" s="9"/>
      <c r="K1059" s="18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7"/>
      <c r="B1060" s="8"/>
      <c r="C1060" s="8"/>
      <c r="D1060" s="8"/>
      <c r="E1060" s="8"/>
      <c r="F1060" s="8"/>
      <c r="G1060" s="8"/>
      <c r="H1060" s="8"/>
      <c r="I1060" s="9"/>
      <c r="J1060" s="9"/>
      <c r="K1060" s="18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7"/>
      <c r="B1061" s="8"/>
      <c r="C1061" s="8"/>
      <c r="D1061" s="8"/>
      <c r="E1061" s="8"/>
      <c r="F1061" s="8"/>
      <c r="G1061" s="8"/>
      <c r="H1061" s="8"/>
      <c r="I1061" s="9"/>
      <c r="J1061" s="9"/>
      <c r="K1061" s="1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7"/>
      <c r="B1062" s="8"/>
      <c r="C1062" s="8"/>
      <c r="D1062" s="8"/>
      <c r="E1062" s="8"/>
      <c r="F1062" s="8"/>
      <c r="G1062" s="8"/>
      <c r="H1062" s="8"/>
      <c r="I1062" s="9"/>
      <c r="J1062" s="9"/>
      <c r="K1062" s="1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7"/>
      <c r="B1063" s="8"/>
      <c r="C1063" s="8"/>
      <c r="D1063" s="8"/>
      <c r="E1063" s="8"/>
      <c r="F1063" s="8"/>
      <c r="G1063" s="8"/>
      <c r="H1063" s="8"/>
      <c r="I1063" s="9"/>
      <c r="J1063" s="9"/>
      <c r="K1063" s="1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7"/>
      <c r="B1064" s="8"/>
      <c r="C1064" s="8"/>
      <c r="D1064" s="8"/>
      <c r="E1064" s="8"/>
      <c r="F1064" s="8"/>
      <c r="G1064" s="8"/>
      <c r="H1064" s="8"/>
      <c r="I1064" s="9"/>
      <c r="J1064" s="9"/>
      <c r="K1064" s="18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7"/>
      <c r="B1065" s="8"/>
      <c r="C1065" s="8"/>
      <c r="D1065" s="8"/>
      <c r="E1065" s="8"/>
      <c r="F1065" s="8"/>
      <c r="G1065" s="8"/>
      <c r="H1065" s="8"/>
      <c r="I1065" s="9"/>
      <c r="J1065" s="9"/>
      <c r="K1065" s="18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7"/>
      <c r="B1066" s="8"/>
      <c r="C1066" s="8"/>
      <c r="D1066" s="8"/>
      <c r="E1066" s="8"/>
      <c r="F1066" s="8"/>
      <c r="G1066" s="8"/>
      <c r="H1066" s="8"/>
      <c r="I1066" s="9"/>
      <c r="J1066" s="9"/>
      <c r="K1066" s="18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7"/>
      <c r="B1067" s="8"/>
      <c r="C1067" s="8"/>
      <c r="D1067" s="8"/>
      <c r="E1067" s="8"/>
      <c r="F1067" s="8"/>
      <c r="G1067" s="8"/>
      <c r="H1067" s="8"/>
      <c r="I1067" s="9"/>
      <c r="J1067" s="9"/>
      <c r="K1067" s="18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7"/>
      <c r="B1068" s="8"/>
      <c r="C1068" s="8"/>
      <c r="D1068" s="8"/>
      <c r="E1068" s="8"/>
      <c r="F1068" s="8"/>
      <c r="G1068" s="8"/>
      <c r="H1068" s="8"/>
      <c r="I1068" s="9"/>
      <c r="J1068" s="9"/>
      <c r="K1068" s="18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7"/>
      <c r="B1069" s="8"/>
      <c r="C1069" s="8"/>
      <c r="D1069" s="8"/>
      <c r="E1069" s="8"/>
      <c r="F1069" s="8"/>
      <c r="G1069" s="8"/>
      <c r="H1069" s="8"/>
      <c r="I1069" s="9"/>
      <c r="J1069" s="9"/>
      <c r="K1069" s="18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7"/>
      <c r="B1070" s="8"/>
      <c r="C1070" s="8"/>
      <c r="D1070" s="8"/>
      <c r="E1070" s="8"/>
      <c r="F1070" s="8"/>
      <c r="G1070" s="8"/>
      <c r="H1070" s="8"/>
      <c r="I1070" s="9"/>
      <c r="J1070" s="9"/>
      <c r="K1070" s="18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7"/>
      <c r="B1071" s="8"/>
      <c r="C1071" s="8"/>
      <c r="D1071" s="8"/>
      <c r="E1071" s="8"/>
      <c r="F1071" s="8"/>
      <c r="G1071" s="8"/>
      <c r="H1071" s="8"/>
      <c r="I1071" s="9"/>
      <c r="J1071" s="9"/>
      <c r="K1071" s="18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7"/>
      <c r="B1072" s="8"/>
      <c r="C1072" s="8"/>
      <c r="D1072" s="8"/>
      <c r="E1072" s="8"/>
      <c r="F1072" s="8"/>
      <c r="G1072" s="8"/>
      <c r="H1072" s="8"/>
      <c r="I1072" s="9"/>
      <c r="J1072" s="9"/>
      <c r="K1072" s="18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7"/>
      <c r="B1073" s="8"/>
      <c r="C1073" s="8"/>
      <c r="D1073" s="8"/>
      <c r="E1073" s="8"/>
      <c r="F1073" s="8"/>
      <c r="G1073" s="8"/>
      <c r="H1073" s="8"/>
      <c r="I1073" s="9"/>
      <c r="J1073" s="9"/>
      <c r="K1073" s="18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7"/>
      <c r="B1074" s="8"/>
      <c r="C1074" s="8"/>
      <c r="D1074" s="8"/>
      <c r="E1074" s="8"/>
      <c r="F1074" s="8"/>
      <c r="G1074" s="8"/>
      <c r="H1074" s="8"/>
      <c r="I1074" s="9"/>
      <c r="J1074" s="9"/>
      <c r="K1074" s="18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7"/>
      <c r="B1075" s="8"/>
      <c r="C1075" s="8"/>
      <c r="D1075" s="8"/>
      <c r="E1075" s="8"/>
      <c r="F1075" s="8"/>
      <c r="G1075" s="8"/>
      <c r="H1075" s="8"/>
      <c r="I1075" s="9"/>
      <c r="J1075" s="9"/>
      <c r="K1075" s="18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7"/>
      <c r="B1076" s="8"/>
      <c r="C1076" s="8"/>
      <c r="D1076" s="8"/>
      <c r="E1076" s="8"/>
      <c r="F1076" s="8"/>
      <c r="G1076" s="8"/>
      <c r="H1076" s="8"/>
      <c r="I1076" s="9"/>
      <c r="J1076" s="9"/>
      <c r="K1076" s="18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7"/>
      <c r="B1077" s="8"/>
      <c r="C1077" s="8"/>
      <c r="D1077" s="8"/>
      <c r="E1077" s="8"/>
      <c r="F1077" s="8"/>
      <c r="G1077" s="8"/>
      <c r="H1077" s="8"/>
      <c r="I1077" s="9"/>
      <c r="J1077" s="9"/>
      <c r="K1077" s="18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7"/>
      <c r="B1078" s="8"/>
      <c r="C1078" s="8"/>
      <c r="D1078" s="8"/>
      <c r="E1078" s="8"/>
      <c r="F1078" s="8"/>
      <c r="G1078" s="8"/>
      <c r="H1078" s="8"/>
      <c r="I1078" s="9"/>
      <c r="J1078" s="9"/>
      <c r="K1078" s="18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7"/>
      <c r="B1079" s="8"/>
      <c r="C1079" s="8"/>
      <c r="D1079" s="8"/>
      <c r="E1079" s="8"/>
      <c r="F1079" s="8"/>
      <c r="G1079" s="8"/>
      <c r="H1079" s="8"/>
      <c r="I1079" s="9"/>
      <c r="J1079" s="9"/>
      <c r="K1079" s="18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7"/>
      <c r="B1080" s="8"/>
      <c r="C1080" s="8"/>
      <c r="D1080" s="8"/>
      <c r="E1080" s="8"/>
      <c r="F1080" s="8"/>
      <c r="G1080" s="8"/>
      <c r="H1080" s="8"/>
      <c r="I1080" s="9"/>
      <c r="J1080" s="9"/>
      <c r="K1080" s="18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7"/>
      <c r="B1081" s="8"/>
      <c r="C1081" s="8"/>
      <c r="D1081" s="8"/>
      <c r="E1081" s="8"/>
      <c r="F1081" s="8"/>
      <c r="G1081" s="8"/>
      <c r="H1081" s="8"/>
      <c r="I1081" s="9"/>
      <c r="J1081" s="9"/>
      <c r="K1081" s="18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7"/>
      <c r="B1082" s="8"/>
      <c r="C1082" s="8"/>
      <c r="D1082" s="8"/>
      <c r="E1082" s="8"/>
      <c r="F1082" s="8"/>
      <c r="G1082" s="8"/>
      <c r="H1082" s="8"/>
      <c r="I1082" s="9"/>
      <c r="J1082" s="9"/>
      <c r="K1082" s="18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7"/>
      <c r="B1083" s="8"/>
      <c r="C1083" s="8"/>
      <c r="D1083" s="8"/>
      <c r="E1083" s="8"/>
      <c r="F1083" s="8"/>
      <c r="G1083" s="8"/>
      <c r="H1083" s="8"/>
      <c r="I1083" s="9"/>
      <c r="J1083" s="9"/>
      <c r="K1083" s="18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7"/>
      <c r="B1084" s="8"/>
      <c r="C1084" s="8"/>
      <c r="D1084" s="8"/>
      <c r="E1084" s="8"/>
      <c r="F1084" s="8"/>
      <c r="G1084" s="8"/>
      <c r="H1084" s="8"/>
      <c r="I1084" s="9"/>
      <c r="J1084" s="9"/>
      <c r="K1084" s="18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7"/>
      <c r="B1085" s="8"/>
      <c r="C1085" s="8"/>
      <c r="D1085" s="8"/>
      <c r="E1085" s="8"/>
      <c r="F1085" s="8"/>
      <c r="G1085" s="8"/>
      <c r="H1085" s="8"/>
      <c r="I1085" s="9"/>
      <c r="J1085" s="9"/>
      <c r="K1085" s="18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7"/>
      <c r="B1086" s="8"/>
      <c r="C1086" s="8"/>
      <c r="D1086" s="8"/>
      <c r="E1086" s="8"/>
      <c r="F1086" s="8"/>
      <c r="G1086" s="8"/>
      <c r="H1086" s="8"/>
      <c r="I1086" s="9"/>
      <c r="J1086" s="9"/>
      <c r="K1086" s="18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7"/>
      <c r="B1087" s="8"/>
      <c r="C1087" s="8"/>
      <c r="D1087" s="8"/>
      <c r="E1087" s="8"/>
      <c r="F1087" s="8"/>
      <c r="G1087" s="8"/>
      <c r="H1087" s="8"/>
      <c r="I1087" s="9"/>
      <c r="J1087" s="9"/>
      <c r="K1087" s="18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7"/>
      <c r="B1088" s="8"/>
      <c r="C1088" s="8"/>
      <c r="D1088" s="8"/>
      <c r="E1088" s="8"/>
      <c r="F1088" s="8"/>
      <c r="G1088" s="8"/>
      <c r="H1088" s="8"/>
      <c r="I1088" s="9"/>
      <c r="J1088" s="9"/>
      <c r="K1088" s="18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7"/>
      <c r="B1089" s="8"/>
      <c r="C1089" s="8"/>
      <c r="D1089" s="8"/>
      <c r="E1089" s="8"/>
      <c r="F1089" s="8"/>
      <c r="G1089" s="8"/>
      <c r="H1089" s="8"/>
      <c r="I1089" s="9"/>
      <c r="J1089" s="9"/>
      <c r="K1089" s="18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7"/>
      <c r="B1090" s="8"/>
      <c r="C1090" s="8"/>
      <c r="D1090" s="8"/>
      <c r="E1090" s="8"/>
      <c r="F1090" s="8"/>
      <c r="G1090" s="8"/>
      <c r="H1090" s="8"/>
      <c r="I1090" s="9"/>
      <c r="J1090" s="9"/>
      <c r="K1090" s="18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7"/>
      <c r="B1091" s="8"/>
      <c r="C1091" s="8"/>
      <c r="D1091" s="8"/>
      <c r="E1091" s="8"/>
      <c r="F1091" s="8"/>
      <c r="G1091" s="8"/>
      <c r="H1091" s="8"/>
      <c r="I1091" s="9"/>
      <c r="J1091" s="9"/>
      <c r="K1091" s="18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7"/>
      <c r="B1092" s="8"/>
      <c r="C1092" s="8"/>
      <c r="D1092" s="8"/>
      <c r="E1092" s="8"/>
      <c r="F1092" s="8"/>
      <c r="G1092" s="8"/>
      <c r="H1092" s="8"/>
      <c r="I1092" s="9"/>
      <c r="J1092" s="9"/>
      <c r="K1092" s="18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7"/>
      <c r="B1093" s="8"/>
      <c r="C1093" s="8"/>
      <c r="D1093" s="8"/>
      <c r="E1093" s="8"/>
      <c r="F1093" s="8"/>
      <c r="G1093" s="8"/>
      <c r="H1093" s="8"/>
      <c r="I1093" s="9"/>
      <c r="J1093" s="9"/>
      <c r="K1093" s="18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7"/>
      <c r="B1094" s="8"/>
      <c r="C1094" s="8"/>
      <c r="D1094" s="8"/>
      <c r="E1094" s="8"/>
      <c r="F1094" s="8"/>
      <c r="G1094" s="8"/>
      <c r="H1094" s="8"/>
      <c r="I1094" s="9"/>
      <c r="J1094" s="9"/>
      <c r="K1094" s="18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7"/>
      <c r="B1095" s="8"/>
      <c r="C1095" s="8"/>
      <c r="D1095" s="8"/>
      <c r="E1095" s="8"/>
      <c r="F1095" s="8"/>
      <c r="G1095" s="8"/>
      <c r="H1095" s="8"/>
      <c r="I1095" s="9"/>
      <c r="J1095" s="9"/>
      <c r="K1095" s="18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7"/>
      <c r="B1096" s="8"/>
      <c r="C1096" s="8"/>
      <c r="D1096" s="8"/>
      <c r="E1096" s="8"/>
      <c r="F1096" s="8"/>
      <c r="G1096" s="8"/>
      <c r="H1096" s="8"/>
      <c r="I1096" s="9"/>
      <c r="J1096" s="9"/>
      <c r="K1096" s="18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7"/>
      <c r="B1097" s="8"/>
      <c r="C1097" s="8"/>
      <c r="D1097" s="8"/>
      <c r="E1097" s="8"/>
      <c r="F1097" s="8"/>
      <c r="G1097" s="8"/>
      <c r="H1097" s="8"/>
      <c r="I1097" s="9"/>
      <c r="J1097" s="9"/>
      <c r="K1097" s="18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7"/>
      <c r="B1098" s="8"/>
      <c r="C1098" s="8"/>
      <c r="D1098" s="8"/>
      <c r="E1098" s="8"/>
      <c r="F1098" s="8"/>
      <c r="G1098" s="8"/>
      <c r="H1098" s="8"/>
      <c r="I1098" s="9"/>
      <c r="J1098" s="9"/>
      <c r="K1098" s="18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7"/>
      <c r="B1099" s="8"/>
      <c r="C1099" s="8"/>
      <c r="D1099" s="8"/>
      <c r="E1099" s="8"/>
      <c r="F1099" s="8"/>
      <c r="G1099" s="8"/>
      <c r="H1099" s="8"/>
      <c r="I1099" s="9"/>
      <c r="J1099" s="9"/>
      <c r="K1099" s="18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7"/>
      <c r="B1100" s="8"/>
      <c r="C1100" s="8"/>
      <c r="D1100" s="8"/>
      <c r="E1100" s="8"/>
      <c r="F1100" s="8"/>
      <c r="G1100" s="8"/>
      <c r="H1100" s="8"/>
      <c r="I1100" s="9"/>
      <c r="J1100" s="9"/>
      <c r="K1100" s="18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7"/>
      <c r="B1101" s="8"/>
      <c r="C1101" s="8"/>
      <c r="D1101" s="8"/>
      <c r="E1101" s="8"/>
      <c r="F1101" s="8"/>
      <c r="G1101" s="8"/>
      <c r="H1101" s="8"/>
      <c r="I1101" s="9"/>
      <c r="J1101" s="9"/>
      <c r="K1101" s="18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7"/>
      <c r="B1102" s="8"/>
      <c r="C1102" s="8"/>
      <c r="D1102" s="8"/>
      <c r="E1102" s="8"/>
      <c r="F1102" s="8"/>
      <c r="G1102" s="8"/>
      <c r="H1102" s="8"/>
      <c r="I1102" s="9"/>
      <c r="J1102" s="9"/>
      <c r="K1102" s="18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7"/>
      <c r="B1103" s="8"/>
      <c r="C1103" s="8"/>
      <c r="D1103" s="8"/>
      <c r="E1103" s="8"/>
      <c r="F1103" s="8"/>
      <c r="G1103" s="8"/>
      <c r="H1103" s="8"/>
      <c r="I1103" s="9"/>
      <c r="J1103" s="9"/>
      <c r="K1103" s="18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7"/>
      <c r="B1104" s="8"/>
      <c r="C1104" s="8"/>
      <c r="D1104" s="8"/>
      <c r="E1104" s="8"/>
      <c r="F1104" s="8"/>
      <c r="G1104" s="8"/>
      <c r="H1104" s="8"/>
      <c r="I1104" s="9"/>
      <c r="J1104" s="9"/>
      <c r="K1104" s="18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7"/>
      <c r="B1105" s="8"/>
      <c r="C1105" s="8"/>
      <c r="D1105" s="8"/>
      <c r="E1105" s="8"/>
      <c r="F1105" s="8"/>
      <c r="G1105" s="8"/>
      <c r="H1105" s="8"/>
      <c r="I1105" s="9"/>
      <c r="J1105" s="9"/>
      <c r="K1105" s="1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7"/>
      <c r="B1106" s="8"/>
      <c r="C1106" s="8"/>
      <c r="D1106" s="8"/>
      <c r="E1106" s="8"/>
      <c r="F1106" s="8"/>
      <c r="G1106" s="8"/>
      <c r="H1106" s="8"/>
      <c r="I1106" s="9"/>
      <c r="J1106" s="9"/>
      <c r="K1106" s="1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7"/>
      <c r="B1107" s="8"/>
      <c r="C1107" s="8"/>
      <c r="D1107" s="8"/>
      <c r="E1107" s="8"/>
      <c r="F1107" s="8"/>
      <c r="G1107" s="8"/>
      <c r="H1107" s="8"/>
      <c r="I1107" s="9"/>
      <c r="J1107" s="9"/>
      <c r="K1107" s="1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7"/>
      <c r="B1108" s="8"/>
      <c r="C1108" s="8"/>
      <c r="D1108" s="8"/>
      <c r="E1108" s="8"/>
      <c r="F1108" s="8"/>
      <c r="G1108" s="8"/>
      <c r="H1108" s="8"/>
      <c r="I1108" s="9"/>
      <c r="J1108" s="9"/>
      <c r="K1108" s="1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7"/>
      <c r="B1109" s="8"/>
      <c r="C1109" s="8"/>
      <c r="D1109" s="8"/>
      <c r="E1109" s="8"/>
      <c r="F1109" s="8"/>
      <c r="G1109" s="8"/>
      <c r="H1109" s="8"/>
      <c r="I1109" s="9"/>
      <c r="J1109" s="9"/>
      <c r="K1109" s="18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7"/>
      <c r="B1110" s="8"/>
      <c r="C1110" s="8"/>
      <c r="D1110" s="8"/>
      <c r="E1110" s="8"/>
      <c r="F1110" s="8"/>
      <c r="G1110" s="8"/>
      <c r="H1110" s="8"/>
      <c r="I1110" s="9"/>
      <c r="J1110" s="9"/>
      <c r="K1110" s="18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7"/>
      <c r="B1111" s="8"/>
      <c r="C1111" s="8"/>
      <c r="D1111" s="8"/>
      <c r="E1111" s="8"/>
      <c r="F1111" s="8"/>
      <c r="G1111" s="8"/>
      <c r="H1111" s="8"/>
      <c r="I1111" s="9"/>
      <c r="J1111" s="9"/>
      <c r="K1111" s="18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7"/>
      <c r="B1112" s="8"/>
      <c r="C1112" s="8"/>
      <c r="D1112" s="8"/>
      <c r="E1112" s="8"/>
      <c r="F1112" s="8"/>
      <c r="G1112" s="8"/>
      <c r="H1112" s="8"/>
      <c r="I1112" s="9"/>
      <c r="J1112" s="9"/>
      <c r="K1112" s="18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7"/>
      <c r="B1113" s="8"/>
      <c r="C1113" s="8"/>
      <c r="D1113" s="8"/>
      <c r="E1113" s="8"/>
      <c r="F1113" s="8"/>
      <c r="G1113" s="8"/>
      <c r="H1113" s="8"/>
      <c r="I1113" s="9"/>
      <c r="J1113" s="9"/>
      <c r="K1113" s="18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7"/>
      <c r="B1114" s="8"/>
      <c r="C1114" s="8"/>
      <c r="D1114" s="8"/>
      <c r="E1114" s="8"/>
      <c r="F1114" s="8"/>
      <c r="G1114" s="8"/>
      <c r="H1114" s="8"/>
      <c r="I1114" s="9"/>
      <c r="J1114" s="9"/>
      <c r="K1114" s="18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7"/>
      <c r="B1115" s="8"/>
      <c r="C1115" s="8"/>
      <c r="D1115" s="8"/>
      <c r="E1115" s="8"/>
      <c r="F1115" s="8"/>
      <c r="G1115" s="8"/>
      <c r="H1115" s="8"/>
      <c r="I1115" s="9"/>
      <c r="J1115" s="9"/>
      <c r="K1115" s="18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7"/>
      <c r="B1116" s="8"/>
      <c r="C1116" s="8"/>
      <c r="D1116" s="8"/>
      <c r="E1116" s="8"/>
      <c r="F1116" s="8"/>
      <c r="G1116" s="8"/>
      <c r="H1116" s="8"/>
      <c r="I1116" s="9"/>
      <c r="J1116" s="9"/>
      <c r="K1116" s="18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7"/>
      <c r="B1117" s="8"/>
      <c r="C1117" s="8"/>
      <c r="D1117" s="8"/>
      <c r="E1117" s="8"/>
      <c r="F1117" s="8"/>
      <c r="G1117" s="8"/>
      <c r="H1117" s="8"/>
      <c r="I1117" s="9"/>
      <c r="J1117" s="9"/>
      <c r="K1117" s="18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7"/>
      <c r="B1118" s="8"/>
      <c r="C1118" s="8"/>
      <c r="D1118" s="8"/>
      <c r="E1118" s="8"/>
      <c r="F1118" s="8"/>
      <c r="G1118" s="8"/>
      <c r="H1118" s="8"/>
      <c r="I1118" s="9"/>
      <c r="J1118" s="9"/>
      <c r="K1118" s="1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7"/>
      <c r="B1119" s="8"/>
      <c r="C1119" s="8"/>
      <c r="D1119" s="8"/>
      <c r="E1119" s="8"/>
      <c r="F1119" s="8"/>
      <c r="G1119" s="8"/>
      <c r="H1119" s="8"/>
      <c r="I1119" s="9"/>
      <c r="J1119" s="9"/>
      <c r="K1119" s="1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7"/>
      <c r="B1120" s="8"/>
      <c r="C1120" s="8"/>
      <c r="D1120" s="8"/>
      <c r="E1120" s="8"/>
      <c r="F1120" s="8"/>
      <c r="G1120" s="8"/>
      <c r="H1120" s="8"/>
      <c r="I1120" s="9"/>
      <c r="J1120" s="9"/>
      <c r="K1120" s="1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7"/>
      <c r="B1121" s="8"/>
      <c r="C1121" s="8"/>
      <c r="D1121" s="8"/>
      <c r="E1121" s="8"/>
      <c r="F1121" s="8"/>
      <c r="G1121" s="8"/>
      <c r="H1121" s="8"/>
      <c r="I1121" s="9"/>
      <c r="J1121" s="9"/>
      <c r="K1121" s="18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7"/>
      <c r="B1122" s="8"/>
      <c r="C1122" s="8"/>
      <c r="D1122" s="8"/>
      <c r="E1122" s="8"/>
      <c r="F1122" s="8"/>
      <c r="G1122" s="8"/>
      <c r="H1122" s="8"/>
      <c r="I1122" s="9"/>
      <c r="J1122" s="9"/>
      <c r="K1122" s="18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7"/>
      <c r="B1123" s="8"/>
      <c r="C1123" s="8"/>
      <c r="D1123" s="8"/>
      <c r="E1123" s="8"/>
      <c r="F1123" s="8"/>
      <c r="G1123" s="8"/>
      <c r="H1123" s="8"/>
      <c r="I1123" s="9"/>
      <c r="J1123" s="9"/>
      <c r="K1123" s="18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7"/>
      <c r="B1124" s="8"/>
      <c r="C1124" s="8"/>
      <c r="D1124" s="8"/>
      <c r="E1124" s="8"/>
      <c r="F1124" s="8"/>
      <c r="G1124" s="8"/>
      <c r="H1124" s="8"/>
      <c r="I1124" s="9"/>
      <c r="J1124" s="9"/>
      <c r="K1124" s="18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7"/>
      <c r="B1125" s="8"/>
      <c r="C1125" s="8"/>
      <c r="D1125" s="8"/>
      <c r="E1125" s="8"/>
      <c r="F1125" s="8"/>
      <c r="G1125" s="8"/>
      <c r="H1125" s="8"/>
      <c r="I1125" s="9"/>
      <c r="J1125" s="9"/>
      <c r="K1125" s="18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7"/>
      <c r="B1126" s="8"/>
      <c r="C1126" s="8"/>
      <c r="D1126" s="8"/>
      <c r="E1126" s="8"/>
      <c r="F1126" s="8"/>
      <c r="G1126" s="8"/>
      <c r="H1126" s="8"/>
      <c r="I1126" s="9"/>
      <c r="J1126" s="9"/>
      <c r="K1126" s="18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7"/>
      <c r="B1127" s="8"/>
      <c r="C1127" s="8"/>
      <c r="D1127" s="8"/>
      <c r="E1127" s="8"/>
      <c r="F1127" s="8"/>
      <c r="G1127" s="8"/>
      <c r="H1127" s="8"/>
      <c r="I1127" s="9"/>
      <c r="J1127" s="9"/>
      <c r="K1127" s="18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7"/>
      <c r="B1128" s="8"/>
      <c r="C1128" s="8"/>
      <c r="D1128" s="8"/>
      <c r="E1128" s="8"/>
      <c r="F1128" s="8"/>
      <c r="G1128" s="8"/>
      <c r="H1128" s="8"/>
      <c r="I1128" s="9"/>
      <c r="J1128" s="9"/>
      <c r="K1128" s="18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7"/>
      <c r="B1129" s="8"/>
      <c r="C1129" s="8"/>
      <c r="D1129" s="8"/>
      <c r="E1129" s="8"/>
      <c r="F1129" s="8"/>
      <c r="G1129" s="8"/>
      <c r="H1129" s="8"/>
      <c r="I1129" s="9"/>
      <c r="J1129" s="9"/>
      <c r="K1129" s="18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7"/>
      <c r="B1130" s="8"/>
      <c r="C1130" s="8"/>
      <c r="D1130" s="8"/>
      <c r="E1130" s="8"/>
      <c r="F1130" s="8"/>
      <c r="G1130" s="8"/>
      <c r="H1130" s="8"/>
      <c r="I1130" s="9"/>
      <c r="J1130" s="9"/>
      <c r="K1130" s="18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7"/>
      <c r="B1131" s="8"/>
      <c r="C1131" s="8"/>
      <c r="D1131" s="8"/>
      <c r="E1131" s="8"/>
      <c r="F1131" s="8"/>
      <c r="G1131" s="8"/>
      <c r="H1131" s="8"/>
      <c r="I1131" s="9"/>
      <c r="J1131" s="9"/>
      <c r="K1131" s="18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7"/>
      <c r="B1132" s="8"/>
      <c r="C1132" s="8"/>
      <c r="D1132" s="8"/>
      <c r="E1132" s="8"/>
      <c r="F1132" s="8"/>
      <c r="G1132" s="8"/>
      <c r="H1132" s="8"/>
      <c r="I1132" s="9"/>
      <c r="J1132" s="9"/>
      <c r="K1132" s="18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7"/>
      <c r="B1133" s="8"/>
      <c r="C1133" s="8"/>
      <c r="D1133" s="8"/>
      <c r="E1133" s="8"/>
      <c r="F1133" s="8"/>
      <c r="G1133" s="8"/>
      <c r="H1133" s="8"/>
      <c r="I1133" s="9"/>
      <c r="J1133" s="9"/>
      <c r="K1133" s="18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7"/>
      <c r="B1134" s="8"/>
      <c r="C1134" s="8"/>
      <c r="D1134" s="8"/>
      <c r="E1134" s="8"/>
      <c r="F1134" s="8"/>
      <c r="G1134" s="8"/>
      <c r="H1134" s="8"/>
      <c r="I1134" s="9"/>
      <c r="J1134" s="9"/>
      <c r="K1134" s="18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7"/>
      <c r="B1135" s="8"/>
      <c r="C1135" s="8"/>
      <c r="D1135" s="8"/>
      <c r="E1135" s="8"/>
      <c r="F1135" s="8"/>
      <c r="G1135" s="8"/>
      <c r="H1135" s="8"/>
      <c r="I1135" s="9"/>
      <c r="J1135" s="9"/>
      <c r="K1135" s="18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7"/>
      <c r="B1136" s="8"/>
      <c r="C1136" s="8"/>
      <c r="D1136" s="8"/>
      <c r="E1136" s="8"/>
      <c r="F1136" s="8"/>
      <c r="G1136" s="8"/>
      <c r="H1136" s="8"/>
      <c r="I1136" s="9"/>
      <c r="J1136" s="9"/>
      <c r="K1136" s="18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7"/>
      <c r="B1137" s="8"/>
      <c r="C1137" s="8"/>
      <c r="D1137" s="8"/>
      <c r="E1137" s="8"/>
      <c r="F1137" s="8"/>
      <c r="G1137" s="8"/>
      <c r="H1137" s="8"/>
      <c r="I1137" s="9"/>
      <c r="J1137" s="9"/>
      <c r="K1137" s="18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7"/>
      <c r="B1138" s="8"/>
      <c r="C1138" s="8"/>
      <c r="D1138" s="8"/>
      <c r="E1138" s="8"/>
      <c r="F1138" s="8"/>
      <c r="G1138" s="8"/>
      <c r="H1138" s="8"/>
      <c r="I1138" s="9"/>
      <c r="J1138" s="9"/>
      <c r="K1138" s="18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7"/>
      <c r="B1139" s="8"/>
      <c r="C1139" s="8"/>
      <c r="D1139" s="8"/>
      <c r="E1139" s="8"/>
      <c r="F1139" s="8"/>
      <c r="G1139" s="8"/>
      <c r="H1139" s="8"/>
      <c r="I1139" s="9"/>
      <c r="J1139" s="9"/>
      <c r="K1139" s="18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7"/>
      <c r="B1140" s="8"/>
      <c r="C1140" s="8"/>
      <c r="D1140" s="8"/>
      <c r="E1140" s="8"/>
      <c r="F1140" s="8"/>
      <c r="G1140" s="8"/>
      <c r="H1140" s="8"/>
      <c r="I1140" s="9"/>
      <c r="J1140" s="9"/>
      <c r="K1140" s="18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7"/>
      <c r="B1141" s="8"/>
      <c r="C1141" s="8"/>
      <c r="D1141" s="8"/>
      <c r="E1141" s="8"/>
      <c r="F1141" s="8"/>
      <c r="G1141" s="8"/>
      <c r="H1141" s="8"/>
      <c r="I1141" s="9"/>
      <c r="J1141" s="9"/>
      <c r="K1141" s="1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7"/>
      <c r="B1142" s="8"/>
      <c r="C1142" s="8"/>
      <c r="D1142" s="8"/>
      <c r="E1142" s="8"/>
      <c r="F1142" s="8"/>
      <c r="G1142" s="8"/>
      <c r="H1142" s="8"/>
      <c r="I1142" s="9"/>
      <c r="J1142" s="9"/>
      <c r="K1142" s="1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7"/>
      <c r="B1143" s="8"/>
      <c r="C1143" s="8"/>
      <c r="D1143" s="8"/>
      <c r="E1143" s="8"/>
      <c r="F1143" s="8"/>
      <c r="G1143" s="8"/>
      <c r="H1143" s="8"/>
      <c r="I1143" s="9"/>
      <c r="J1143" s="9"/>
      <c r="K1143" s="1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7"/>
      <c r="B1144" s="8"/>
      <c r="C1144" s="8"/>
      <c r="D1144" s="8"/>
      <c r="E1144" s="8"/>
      <c r="F1144" s="8"/>
      <c r="G1144" s="8"/>
      <c r="H1144" s="8"/>
      <c r="I1144" s="9"/>
      <c r="J1144" s="9"/>
      <c r="K1144" s="1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7"/>
      <c r="B1145" s="8"/>
      <c r="C1145" s="8"/>
      <c r="D1145" s="8"/>
      <c r="E1145" s="8"/>
      <c r="F1145" s="8"/>
      <c r="G1145" s="8"/>
      <c r="H1145" s="8"/>
      <c r="I1145" s="9"/>
      <c r="J1145" s="9"/>
      <c r="K1145" s="18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7"/>
      <c r="B1146" s="8"/>
      <c r="C1146" s="8"/>
      <c r="D1146" s="8"/>
      <c r="E1146" s="8"/>
      <c r="F1146" s="8"/>
      <c r="G1146" s="8"/>
      <c r="H1146" s="8"/>
      <c r="I1146" s="9"/>
      <c r="J1146" s="9"/>
      <c r="K1146" s="18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7"/>
      <c r="B1147" s="8"/>
      <c r="C1147" s="8"/>
      <c r="D1147" s="8"/>
      <c r="E1147" s="8"/>
      <c r="F1147" s="8"/>
      <c r="G1147" s="8"/>
      <c r="H1147" s="8"/>
      <c r="I1147" s="9"/>
      <c r="J1147" s="9"/>
      <c r="K1147" s="18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7"/>
      <c r="B1148" s="8"/>
      <c r="C1148" s="8"/>
      <c r="D1148" s="8"/>
      <c r="E1148" s="8"/>
      <c r="F1148" s="8"/>
      <c r="G1148" s="8"/>
      <c r="H1148" s="8"/>
      <c r="I1148" s="9"/>
      <c r="J1148" s="9"/>
      <c r="K1148" s="18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7"/>
      <c r="B1149" s="8"/>
      <c r="C1149" s="8"/>
      <c r="D1149" s="8"/>
      <c r="E1149" s="8"/>
      <c r="F1149" s="8"/>
      <c r="G1149" s="8"/>
      <c r="H1149" s="8"/>
      <c r="I1149" s="9"/>
      <c r="J1149" s="9"/>
      <c r="K1149" s="18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7"/>
      <c r="B1150" s="8"/>
      <c r="C1150" s="8"/>
      <c r="D1150" s="8"/>
      <c r="E1150" s="8"/>
      <c r="F1150" s="8"/>
      <c r="G1150" s="8"/>
      <c r="H1150" s="8"/>
      <c r="I1150" s="9"/>
      <c r="J1150" s="9"/>
      <c r="K1150" s="18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7"/>
      <c r="B1151" s="8"/>
      <c r="C1151" s="8"/>
      <c r="D1151" s="8"/>
      <c r="E1151" s="8"/>
      <c r="F1151" s="8"/>
      <c r="G1151" s="8"/>
      <c r="H1151" s="8"/>
      <c r="I1151" s="9"/>
      <c r="J1151" s="9"/>
      <c r="K1151" s="18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7"/>
      <c r="B1152" s="8"/>
      <c r="C1152" s="8"/>
      <c r="D1152" s="8"/>
      <c r="E1152" s="8"/>
      <c r="F1152" s="8"/>
      <c r="G1152" s="8"/>
      <c r="H1152" s="8"/>
      <c r="I1152" s="9"/>
      <c r="J1152" s="9"/>
      <c r="K1152" s="18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7"/>
      <c r="B1153" s="8"/>
      <c r="C1153" s="8"/>
      <c r="D1153" s="8"/>
      <c r="E1153" s="8"/>
      <c r="F1153" s="8"/>
      <c r="G1153" s="8"/>
      <c r="H1153" s="8"/>
      <c r="I1153" s="9"/>
      <c r="J1153" s="9"/>
      <c r="K1153" s="18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7"/>
      <c r="B1154" s="8"/>
      <c r="C1154" s="8"/>
      <c r="D1154" s="8"/>
      <c r="E1154" s="8"/>
      <c r="F1154" s="8"/>
      <c r="G1154" s="8"/>
      <c r="H1154" s="8"/>
      <c r="I1154" s="9"/>
      <c r="J1154" s="9"/>
      <c r="K1154" s="1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7"/>
      <c r="B1155" s="8"/>
      <c r="C1155" s="8"/>
      <c r="D1155" s="8"/>
      <c r="E1155" s="8"/>
      <c r="F1155" s="8"/>
      <c r="G1155" s="8"/>
      <c r="H1155" s="8"/>
      <c r="I1155" s="9"/>
      <c r="J1155" s="9"/>
      <c r="K1155" s="1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7"/>
      <c r="B1156" s="8"/>
      <c r="C1156" s="8"/>
      <c r="D1156" s="8"/>
      <c r="E1156" s="8"/>
      <c r="F1156" s="8"/>
      <c r="G1156" s="8"/>
      <c r="H1156" s="8"/>
      <c r="I1156" s="9"/>
      <c r="J1156" s="9"/>
      <c r="K1156" s="1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7"/>
      <c r="B1157" s="8"/>
      <c r="C1157" s="8"/>
      <c r="D1157" s="8"/>
      <c r="E1157" s="8"/>
      <c r="F1157" s="8"/>
      <c r="G1157" s="8"/>
      <c r="H1157" s="8"/>
      <c r="I1157" s="9"/>
      <c r="J1157" s="9"/>
      <c r="K1157" s="18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7"/>
      <c r="B1158" s="8"/>
      <c r="C1158" s="8"/>
      <c r="D1158" s="8"/>
      <c r="E1158" s="8"/>
      <c r="F1158" s="8"/>
      <c r="G1158" s="8"/>
      <c r="H1158" s="8"/>
      <c r="I1158" s="9"/>
      <c r="J1158" s="9"/>
      <c r="K1158" s="18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7"/>
      <c r="B1159" s="8"/>
      <c r="C1159" s="8"/>
      <c r="D1159" s="8"/>
      <c r="E1159" s="8"/>
      <c r="F1159" s="8"/>
      <c r="G1159" s="8"/>
      <c r="H1159" s="8"/>
      <c r="I1159" s="9"/>
      <c r="J1159" s="9"/>
      <c r="K1159" s="18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7"/>
      <c r="B1160" s="8"/>
      <c r="C1160" s="8"/>
      <c r="D1160" s="8"/>
      <c r="E1160" s="8"/>
      <c r="F1160" s="8"/>
      <c r="G1160" s="8"/>
      <c r="H1160" s="8"/>
      <c r="I1160" s="9"/>
      <c r="J1160" s="9"/>
      <c r="K1160" s="18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7"/>
      <c r="B1161" s="8"/>
      <c r="C1161" s="8"/>
      <c r="D1161" s="8"/>
      <c r="E1161" s="8"/>
      <c r="F1161" s="8"/>
      <c r="G1161" s="8"/>
      <c r="H1161" s="8"/>
      <c r="I1161" s="9"/>
      <c r="J1161" s="9"/>
      <c r="K1161" s="18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7"/>
      <c r="B1162" s="8"/>
      <c r="C1162" s="8"/>
      <c r="D1162" s="8"/>
      <c r="E1162" s="8"/>
      <c r="F1162" s="8"/>
      <c r="G1162" s="8"/>
      <c r="H1162" s="8"/>
      <c r="I1162" s="9"/>
      <c r="J1162" s="9"/>
      <c r="K1162" s="18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7"/>
      <c r="B1163" s="8"/>
      <c r="C1163" s="8"/>
      <c r="D1163" s="8"/>
      <c r="E1163" s="8"/>
      <c r="F1163" s="8"/>
      <c r="G1163" s="8"/>
      <c r="H1163" s="8"/>
      <c r="I1163" s="9"/>
      <c r="J1163" s="9"/>
      <c r="K1163" s="18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7"/>
      <c r="B1164" s="8"/>
      <c r="C1164" s="8"/>
      <c r="D1164" s="8"/>
      <c r="E1164" s="8"/>
      <c r="F1164" s="8"/>
      <c r="G1164" s="8"/>
      <c r="H1164" s="8"/>
      <c r="I1164" s="9"/>
      <c r="J1164" s="9"/>
      <c r="K1164" s="18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7"/>
      <c r="B1165" s="8"/>
      <c r="C1165" s="8"/>
      <c r="D1165" s="8"/>
      <c r="E1165" s="8"/>
      <c r="F1165" s="8"/>
      <c r="G1165" s="8"/>
      <c r="H1165" s="8"/>
      <c r="I1165" s="9"/>
      <c r="J1165" s="9"/>
      <c r="K1165" s="18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7"/>
      <c r="B1166" s="8"/>
      <c r="C1166" s="8"/>
      <c r="D1166" s="8"/>
      <c r="E1166" s="8"/>
      <c r="F1166" s="8"/>
      <c r="G1166" s="8"/>
      <c r="H1166" s="8"/>
      <c r="I1166" s="9"/>
      <c r="J1166" s="9"/>
      <c r="K1166" s="18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7"/>
      <c r="B1167" s="8"/>
      <c r="C1167" s="8"/>
      <c r="D1167" s="8"/>
      <c r="E1167" s="8"/>
      <c r="F1167" s="8"/>
      <c r="G1167" s="8"/>
      <c r="H1167" s="8"/>
      <c r="I1167" s="9"/>
      <c r="J1167" s="9"/>
      <c r="K1167" s="18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7"/>
      <c r="B1168" s="8"/>
      <c r="C1168" s="8"/>
      <c r="D1168" s="8"/>
      <c r="E1168" s="8"/>
      <c r="F1168" s="8"/>
      <c r="G1168" s="8"/>
      <c r="H1168" s="8"/>
      <c r="I1168" s="9"/>
      <c r="J1168" s="9"/>
      <c r="K1168" s="18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7"/>
      <c r="B1169" s="8"/>
      <c r="C1169" s="8"/>
      <c r="D1169" s="8"/>
      <c r="E1169" s="8"/>
      <c r="F1169" s="8"/>
      <c r="G1169" s="8"/>
      <c r="H1169" s="8"/>
      <c r="I1169" s="9"/>
      <c r="J1169" s="9"/>
      <c r="K1169" s="18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7"/>
      <c r="B1170" s="8"/>
      <c r="C1170" s="8"/>
      <c r="D1170" s="8"/>
      <c r="E1170" s="8"/>
      <c r="F1170" s="8"/>
      <c r="G1170" s="8"/>
      <c r="H1170" s="8"/>
      <c r="I1170" s="9"/>
      <c r="J1170" s="9"/>
      <c r="K1170" s="18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7"/>
      <c r="B1171" s="8"/>
      <c r="C1171" s="8"/>
      <c r="D1171" s="8"/>
      <c r="E1171" s="8"/>
      <c r="F1171" s="8"/>
      <c r="G1171" s="8"/>
      <c r="H1171" s="8"/>
      <c r="I1171" s="9"/>
      <c r="J1171" s="9"/>
      <c r="K1171" s="18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7"/>
      <c r="B1172" s="8"/>
      <c r="C1172" s="8"/>
      <c r="D1172" s="8"/>
      <c r="E1172" s="8"/>
      <c r="F1172" s="8"/>
      <c r="G1172" s="8"/>
      <c r="H1172" s="8"/>
      <c r="I1172" s="9"/>
      <c r="J1172" s="9"/>
      <c r="K1172" s="18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7"/>
      <c r="B1173" s="8"/>
      <c r="C1173" s="8"/>
      <c r="D1173" s="8"/>
      <c r="E1173" s="8"/>
      <c r="F1173" s="8"/>
      <c r="G1173" s="8"/>
      <c r="H1173" s="8"/>
      <c r="I1173" s="9"/>
      <c r="J1173" s="9"/>
      <c r="K1173" s="18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7"/>
      <c r="B1174" s="8"/>
      <c r="C1174" s="8"/>
      <c r="D1174" s="8"/>
      <c r="E1174" s="8"/>
      <c r="F1174" s="8"/>
      <c r="G1174" s="8"/>
      <c r="H1174" s="8"/>
      <c r="I1174" s="9"/>
      <c r="J1174" s="9"/>
      <c r="K1174" s="18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7"/>
      <c r="B1175" s="8"/>
      <c r="C1175" s="8"/>
      <c r="D1175" s="8"/>
      <c r="E1175" s="8"/>
      <c r="F1175" s="8"/>
      <c r="G1175" s="8"/>
      <c r="H1175" s="8"/>
      <c r="I1175" s="9"/>
      <c r="J1175" s="9"/>
      <c r="K1175" s="18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7"/>
      <c r="B1176" s="8"/>
      <c r="C1176" s="8"/>
      <c r="D1176" s="8"/>
      <c r="E1176" s="8"/>
      <c r="F1176" s="8"/>
      <c r="G1176" s="8"/>
      <c r="H1176" s="8"/>
      <c r="I1176" s="9"/>
      <c r="J1176" s="9"/>
      <c r="K1176" s="18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7"/>
      <c r="B1177" s="8"/>
      <c r="C1177" s="8"/>
      <c r="D1177" s="8"/>
      <c r="E1177" s="8"/>
      <c r="F1177" s="8"/>
      <c r="G1177" s="8"/>
      <c r="H1177" s="8"/>
      <c r="I1177" s="9"/>
      <c r="J1177" s="9"/>
      <c r="K1177" s="18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7"/>
      <c r="B1178" s="8"/>
      <c r="C1178" s="8"/>
      <c r="D1178" s="8"/>
      <c r="E1178" s="8"/>
      <c r="F1178" s="8"/>
      <c r="G1178" s="8"/>
      <c r="H1178" s="8"/>
      <c r="I1178" s="9"/>
      <c r="J1178" s="9"/>
      <c r="K1178" s="18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7"/>
      <c r="B1179" s="8"/>
      <c r="C1179" s="8"/>
      <c r="D1179" s="8"/>
      <c r="E1179" s="8"/>
      <c r="F1179" s="8"/>
      <c r="G1179" s="8"/>
      <c r="H1179" s="8"/>
      <c r="I1179" s="9"/>
      <c r="J1179" s="9"/>
      <c r="K1179" s="18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7"/>
      <c r="B1180" s="8"/>
      <c r="C1180" s="8"/>
      <c r="D1180" s="8"/>
      <c r="E1180" s="8"/>
      <c r="F1180" s="8"/>
      <c r="G1180" s="8"/>
      <c r="H1180" s="8"/>
      <c r="I1180" s="9"/>
      <c r="J1180" s="9"/>
      <c r="K1180" s="18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7"/>
      <c r="B1181" s="8"/>
      <c r="C1181" s="8"/>
      <c r="D1181" s="8"/>
      <c r="E1181" s="8"/>
      <c r="F1181" s="8"/>
      <c r="G1181" s="8"/>
      <c r="H1181" s="8"/>
      <c r="I1181" s="9"/>
      <c r="J1181" s="9"/>
      <c r="K1181" s="18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7"/>
      <c r="B1182" s="8"/>
      <c r="C1182" s="8"/>
      <c r="D1182" s="8"/>
      <c r="E1182" s="8"/>
      <c r="F1182" s="8"/>
      <c r="G1182" s="8"/>
      <c r="H1182" s="8"/>
      <c r="I1182" s="9"/>
      <c r="J1182" s="9"/>
      <c r="K1182" s="18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7"/>
      <c r="B1183" s="8"/>
      <c r="C1183" s="8"/>
      <c r="D1183" s="8"/>
      <c r="E1183" s="8"/>
      <c r="F1183" s="8"/>
      <c r="G1183" s="8"/>
      <c r="H1183" s="8"/>
      <c r="I1183" s="9"/>
      <c r="J1183" s="9"/>
      <c r="K1183" s="18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7"/>
      <c r="B1184" s="8"/>
      <c r="C1184" s="8"/>
      <c r="D1184" s="8"/>
      <c r="E1184" s="8"/>
      <c r="F1184" s="8"/>
      <c r="G1184" s="8"/>
      <c r="H1184" s="8"/>
      <c r="I1184" s="9"/>
      <c r="J1184" s="9"/>
      <c r="K1184" s="18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7"/>
      <c r="B1185" s="8"/>
      <c r="C1185" s="8"/>
      <c r="D1185" s="8"/>
      <c r="E1185" s="8"/>
      <c r="F1185" s="8"/>
      <c r="G1185" s="8"/>
      <c r="H1185" s="8"/>
      <c r="I1185" s="9"/>
      <c r="J1185" s="9"/>
      <c r="K1185" s="18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7"/>
      <c r="B1186" s="8"/>
      <c r="C1186" s="8"/>
      <c r="D1186" s="8"/>
      <c r="E1186" s="8"/>
      <c r="F1186" s="8"/>
      <c r="G1186" s="8"/>
      <c r="H1186" s="8"/>
      <c r="I1186" s="9"/>
      <c r="J1186" s="9"/>
      <c r="K1186" s="18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7"/>
      <c r="B1187" s="8"/>
      <c r="C1187" s="8"/>
      <c r="D1187" s="8"/>
      <c r="E1187" s="8"/>
      <c r="F1187" s="8"/>
      <c r="G1187" s="8"/>
      <c r="H1187" s="8"/>
      <c r="I1187" s="9"/>
      <c r="J1187" s="9"/>
      <c r="K1187" s="18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7"/>
      <c r="B1188" s="8"/>
      <c r="C1188" s="8"/>
      <c r="D1188" s="8"/>
      <c r="E1188" s="8"/>
      <c r="F1188" s="8"/>
      <c r="G1188" s="8"/>
      <c r="H1188" s="8"/>
      <c r="I1188" s="9"/>
      <c r="J1188" s="9"/>
      <c r="K1188" s="18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7"/>
      <c r="B1189" s="8"/>
      <c r="C1189" s="8"/>
      <c r="D1189" s="8"/>
      <c r="E1189" s="8"/>
      <c r="F1189" s="8"/>
      <c r="G1189" s="8"/>
      <c r="H1189" s="8"/>
      <c r="I1189" s="9"/>
      <c r="J1189" s="9"/>
      <c r="K1189" s="18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7"/>
      <c r="B1190" s="8"/>
      <c r="C1190" s="8"/>
      <c r="D1190" s="8"/>
      <c r="E1190" s="8"/>
      <c r="F1190" s="19"/>
      <c r="G1190" s="8"/>
      <c r="H1190" s="8"/>
      <c r="I1190" s="9"/>
      <c r="J1190" s="9"/>
      <c r="K1190" s="18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7"/>
      <c r="B1191" s="8"/>
      <c r="C1191" s="8"/>
      <c r="D1191" s="8"/>
      <c r="E1191" s="8"/>
      <c r="F1191" s="8"/>
      <c r="G1191" s="8"/>
      <c r="H1191" s="8"/>
      <c r="I1191" s="9"/>
      <c r="J1191" s="9"/>
      <c r="K1191" s="18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7"/>
      <c r="B1192" s="8"/>
      <c r="C1192" s="8"/>
      <c r="D1192" s="8"/>
      <c r="E1192" s="8"/>
      <c r="F1192" s="8"/>
      <c r="G1192" s="8"/>
      <c r="H1192" s="8"/>
      <c r="I1192" s="9"/>
      <c r="J1192" s="9"/>
      <c r="K1192" s="18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7"/>
      <c r="B1193" s="8"/>
      <c r="C1193" s="8"/>
      <c r="D1193" s="8"/>
      <c r="E1193" s="8"/>
      <c r="F1193" s="8"/>
      <c r="G1193" s="8"/>
      <c r="H1193" s="8"/>
      <c r="I1193" s="9"/>
      <c r="J1193" s="9"/>
      <c r="K1193" s="18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7"/>
      <c r="B1194" s="8"/>
      <c r="C1194" s="8"/>
      <c r="D1194" s="8"/>
      <c r="E1194" s="8"/>
      <c r="F1194" s="8"/>
      <c r="G1194" s="8"/>
      <c r="H1194" s="8"/>
      <c r="I1194" s="9"/>
      <c r="J1194" s="9"/>
      <c r="K1194" s="18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7"/>
      <c r="B1195" s="8"/>
      <c r="C1195" s="8"/>
      <c r="D1195" s="8"/>
      <c r="E1195" s="8"/>
      <c r="F1195" s="8"/>
      <c r="G1195" s="8"/>
      <c r="H1195" s="8"/>
      <c r="I1195" s="9"/>
      <c r="J1195" s="9"/>
      <c r="K1195" s="18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7"/>
      <c r="B1196" s="8"/>
      <c r="C1196" s="8"/>
      <c r="D1196" s="8"/>
      <c r="E1196" s="8"/>
      <c r="F1196" s="8"/>
      <c r="G1196" s="8"/>
      <c r="H1196" s="8"/>
      <c r="I1196" s="9"/>
      <c r="J1196" s="9"/>
      <c r="K1196" s="18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7"/>
      <c r="B1197" s="8"/>
      <c r="C1197" s="8"/>
      <c r="D1197" s="8"/>
      <c r="E1197" s="8"/>
      <c r="F1197" s="8"/>
      <c r="G1197" s="8"/>
      <c r="H1197" s="8"/>
      <c r="I1197" s="9"/>
      <c r="J1197" s="9"/>
      <c r="K1197" s="18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7"/>
      <c r="B1198" s="8"/>
      <c r="C1198" s="8"/>
      <c r="D1198" s="8"/>
      <c r="E1198" s="8"/>
      <c r="F1198" s="8"/>
      <c r="G1198" s="8"/>
      <c r="H1198" s="8"/>
      <c r="I1198" s="9"/>
      <c r="J1198" s="9"/>
      <c r="K1198" s="18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7"/>
      <c r="B1199" s="8"/>
      <c r="C1199" s="8"/>
      <c r="D1199" s="8"/>
      <c r="E1199" s="8"/>
      <c r="F1199" s="8"/>
      <c r="G1199" s="8"/>
      <c r="H1199" s="8"/>
      <c r="I1199" s="9"/>
      <c r="J1199" s="9"/>
      <c r="K1199" s="18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7"/>
      <c r="B1200" s="8"/>
      <c r="C1200" s="8"/>
      <c r="D1200" s="8"/>
      <c r="E1200" s="8"/>
      <c r="F1200" s="8"/>
      <c r="G1200" s="8"/>
      <c r="H1200" s="8"/>
      <c r="I1200" s="9"/>
      <c r="J1200" s="9"/>
      <c r="K1200" s="18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7"/>
      <c r="B1201" s="8"/>
      <c r="C1201" s="8"/>
      <c r="D1201" s="8"/>
      <c r="E1201" s="8"/>
      <c r="F1201" s="8"/>
      <c r="G1201" s="8"/>
      <c r="H1201" s="8"/>
      <c r="I1201" s="9"/>
      <c r="J1201" s="9"/>
      <c r="K1201" s="18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7"/>
      <c r="B1202" s="8"/>
      <c r="C1202" s="8"/>
      <c r="D1202" s="8"/>
      <c r="E1202" s="8"/>
      <c r="F1202" s="8"/>
      <c r="G1202" s="8"/>
      <c r="H1202" s="8"/>
      <c r="I1202" s="9"/>
      <c r="J1202" s="9"/>
      <c r="K1202" s="18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7"/>
      <c r="B1203" s="8"/>
      <c r="C1203" s="8"/>
      <c r="D1203" s="8"/>
      <c r="E1203" s="8"/>
      <c r="F1203" s="8"/>
      <c r="G1203" s="8"/>
      <c r="H1203" s="8"/>
      <c r="I1203" s="9"/>
      <c r="J1203" s="9"/>
      <c r="K1203" s="18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7"/>
      <c r="B1204" s="8"/>
      <c r="C1204" s="8"/>
      <c r="D1204" s="8"/>
      <c r="E1204" s="8"/>
      <c r="F1204" s="8"/>
      <c r="G1204" s="8"/>
      <c r="H1204" s="8"/>
      <c r="I1204" s="9"/>
      <c r="J1204" s="9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7"/>
      <c r="B1205" s="8"/>
      <c r="C1205" s="8"/>
      <c r="D1205" s="8"/>
      <c r="E1205" s="8"/>
      <c r="F1205" s="8"/>
      <c r="G1205" s="8"/>
      <c r="H1205" s="8"/>
      <c r="I1205" s="9"/>
      <c r="J1205" s="9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7"/>
      <c r="B1206" s="8"/>
      <c r="C1206" s="8"/>
      <c r="D1206" s="8"/>
      <c r="E1206" s="8"/>
      <c r="F1206" s="8"/>
      <c r="G1206" s="8"/>
      <c r="H1206" s="8"/>
      <c r="I1206" s="9"/>
      <c r="J1206" s="9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7"/>
      <c r="B1207" s="8"/>
      <c r="C1207" s="8"/>
      <c r="D1207" s="8"/>
      <c r="E1207" s="8"/>
      <c r="F1207" s="8"/>
      <c r="G1207" s="8"/>
      <c r="H1207" s="8"/>
      <c r="I1207" s="9"/>
      <c r="J1207" s="9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7"/>
      <c r="B1208" s="8"/>
      <c r="C1208" s="8"/>
      <c r="D1208" s="8"/>
      <c r="E1208" s="8"/>
      <c r="F1208" s="8"/>
      <c r="G1208" s="8"/>
      <c r="H1208" s="8"/>
      <c r="I1208" s="9"/>
      <c r="J1208" s="9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7"/>
      <c r="B1209" s="8"/>
      <c r="C1209" s="8"/>
      <c r="D1209" s="8"/>
      <c r="E1209" s="8"/>
      <c r="F1209" s="8"/>
      <c r="G1209" s="8"/>
      <c r="H1209" s="8"/>
      <c r="I1209" s="9"/>
      <c r="J1209" s="9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7"/>
      <c r="B1210" s="8"/>
      <c r="C1210" s="8"/>
      <c r="D1210" s="8"/>
      <c r="E1210" s="8"/>
      <c r="F1210" s="8"/>
      <c r="G1210" s="8"/>
      <c r="H1210" s="8"/>
      <c r="I1210" s="9"/>
      <c r="J1210" s="9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7"/>
      <c r="B1211" s="8"/>
      <c r="C1211" s="8"/>
      <c r="D1211" s="8"/>
      <c r="E1211" s="8"/>
      <c r="F1211" s="8"/>
      <c r="G1211" s="8"/>
      <c r="H1211" s="8"/>
      <c r="I1211" s="9"/>
      <c r="J1211" s="9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7"/>
      <c r="B1212" s="8"/>
      <c r="C1212" s="8"/>
      <c r="D1212" s="8"/>
      <c r="E1212" s="8"/>
      <c r="F1212" s="8"/>
      <c r="G1212" s="8"/>
      <c r="H1212" s="8"/>
      <c r="I1212" s="9"/>
      <c r="J1212" s="9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7"/>
      <c r="B1213" s="8"/>
      <c r="C1213" s="8"/>
      <c r="D1213" s="8"/>
      <c r="E1213" s="8"/>
      <c r="F1213" s="8"/>
      <c r="G1213" s="8"/>
      <c r="H1213" s="8"/>
      <c r="I1213" s="9"/>
      <c r="J1213" s="9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7"/>
      <c r="B1214" s="8"/>
      <c r="C1214" s="8"/>
      <c r="D1214" s="8"/>
      <c r="E1214" s="8"/>
      <c r="F1214" s="8"/>
      <c r="G1214" s="8"/>
      <c r="H1214" s="8"/>
      <c r="I1214" s="9"/>
      <c r="J1214" s="9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7"/>
      <c r="B1215" s="8"/>
      <c r="C1215" s="8"/>
      <c r="D1215" s="8"/>
      <c r="E1215" s="8"/>
      <c r="F1215" s="8"/>
      <c r="G1215" s="8"/>
      <c r="H1215" s="8"/>
      <c r="I1215" s="9"/>
      <c r="J1215" s="9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7"/>
      <c r="B1216" s="8"/>
      <c r="C1216" s="8"/>
      <c r="D1216" s="8"/>
      <c r="E1216" s="8"/>
      <c r="F1216" s="8"/>
      <c r="G1216" s="8"/>
      <c r="H1216" s="8"/>
      <c r="I1216" s="9"/>
      <c r="J1216" s="9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7"/>
      <c r="B1217" s="8"/>
      <c r="C1217" s="8"/>
      <c r="D1217" s="8"/>
      <c r="E1217" s="8"/>
      <c r="F1217" s="8"/>
      <c r="G1217" s="8"/>
      <c r="H1217" s="8"/>
      <c r="I1217" s="9"/>
      <c r="J1217" s="9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7"/>
      <c r="B1218" s="8"/>
      <c r="C1218" s="8"/>
      <c r="D1218" s="8"/>
      <c r="E1218" s="8"/>
      <c r="F1218" s="8"/>
      <c r="G1218" s="8"/>
      <c r="H1218" s="8"/>
      <c r="I1218" s="9"/>
      <c r="J1218" s="9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7"/>
      <c r="B1219" s="8"/>
      <c r="C1219" s="8"/>
      <c r="D1219" s="8"/>
      <c r="E1219" s="8"/>
      <c r="F1219" s="8"/>
      <c r="G1219" s="8"/>
      <c r="H1219" s="8"/>
      <c r="I1219" s="9"/>
      <c r="J1219" s="9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7"/>
      <c r="B1220" s="8"/>
      <c r="C1220" s="8"/>
      <c r="D1220" s="8"/>
      <c r="E1220" s="8"/>
      <c r="F1220" s="8"/>
      <c r="G1220" s="8"/>
      <c r="H1220" s="8"/>
      <c r="I1220" s="9"/>
      <c r="J1220" s="9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7"/>
      <c r="B1221" s="8"/>
      <c r="C1221" s="8"/>
      <c r="D1221" s="8"/>
      <c r="E1221" s="8"/>
      <c r="F1221" s="8"/>
      <c r="G1221" s="8"/>
      <c r="H1221" s="8"/>
      <c r="I1221" s="9"/>
      <c r="J1221" s="9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7"/>
      <c r="B1222" s="8"/>
      <c r="C1222" s="8"/>
      <c r="D1222" s="8"/>
      <c r="E1222" s="8"/>
      <c r="F1222" s="8"/>
      <c r="G1222" s="8"/>
      <c r="H1222" s="8"/>
      <c r="I1222" s="9"/>
      <c r="J1222" s="9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7"/>
      <c r="B1223" s="8"/>
      <c r="C1223" s="8"/>
      <c r="D1223" s="8"/>
      <c r="E1223" s="8"/>
      <c r="F1223" s="8"/>
      <c r="G1223" s="8"/>
      <c r="H1223" s="8"/>
      <c r="I1223" s="9"/>
      <c r="J1223" s="9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7"/>
      <c r="B1224" s="8"/>
      <c r="C1224" s="8"/>
      <c r="D1224" s="8"/>
      <c r="E1224" s="8"/>
      <c r="F1224" s="8"/>
      <c r="G1224" s="8"/>
      <c r="H1224" s="8"/>
      <c r="I1224" s="9"/>
      <c r="J1224" s="9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7"/>
      <c r="B1225" s="8"/>
      <c r="C1225" s="8"/>
      <c r="D1225" s="8"/>
      <c r="E1225" s="8"/>
      <c r="F1225" s="8"/>
      <c r="G1225" s="8"/>
      <c r="H1225" s="8"/>
      <c r="I1225" s="9"/>
      <c r="J1225" s="9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7"/>
      <c r="B1226" s="8"/>
      <c r="C1226" s="8"/>
      <c r="D1226" s="8"/>
      <c r="E1226" s="8"/>
      <c r="F1226" s="8"/>
      <c r="G1226" s="8"/>
      <c r="H1226" s="8"/>
      <c r="I1226" s="9"/>
      <c r="J1226" s="9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7"/>
      <c r="B1227" s="8"/>
      <c r="C1227" s="8"/>
      <c r="D1227" s="8"/>
      <c r="E1227" s="8"/>
      <c r="F1227" s="8"/>
      <c r="G1227" s="8"/>
      <c r="H1227" s="8"/>
      <c r="I1227" s="9"/>
      <c r="J1227" s="9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7"/>
      <c r="B1228" s="8"/>
      <c r="C1228" s="8"/>
      <c r="D1228" s="8"/>
      <c r="E1228" s="8"/>
      <c r="F1228" s="8"/>
      <c r="G1228" s="8"/>
      <c r="H1228" s="8"/>
      <c r="I1228" s="9"/>
      <c r="J1228" s="9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7"/>
      <c r="B1229" s="8"/>
      <c r="C1229" s="8"/>
      <c r="D1229" s="8"/>
      <c r="E1229" s="8"/>
      <c r="F1229" s="8"/>
      <c r="G1229" s="8"/>
      <c r="H1229" s="8"/>
      <c r="I1229" s="9"/>
      <c r="J1229" s="9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7"/>
      <c r="B1230" s="8"/>
      <c r="C1230" s="8"/>
      <c r="D1230" s="8"/>
      <c r="E1230" s="8"/>
      <c r="F1230" s="8"/>
      <c r="G1230" s="8"/>
      <c r="H1230" s="8"/>
      <c r="I1230" s="9"/>
      <c r="J1230" s="9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7"/>
      <c r="B1231" s="8"/>
      <c r="C1231" s="8"/>
      <c r="D1231" s="8"/>
      <c r="E1231" s="8"/>
      <c r="F1231" s="8"/>
      <c r="G1231" s="8"/>
      <c r="H1231" s="8"/>
      <c r="I1231" s="9"/>
      <c r="J1231" s="9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7"/>
      <c r="B1232" s="8"/>
      <c r="C1232" s="8"/>
      <c r="D1232" s="8"/>
      <c r="E1232" s="8"/>
      <c r="F1232" s="8"/>
      <c r="G1232" s="8"/>
      <c r="H1232" s="8"/>
      <c r="I1232" s="9"/>
      <c r="J1232" s="9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7"/>
      <c r="B1233" s="8"/>
      <c r="C1233" s="8"/>
      <c r="D1233" s="8"/>
      <c r="E1233" s="8"/>
      <c r="F1233" s="8"/>
      <c r="G1233" s="8"/>
      <c r="H1233" s="8"/>
      <c r="I1233" s="9"/>
      <c r="J1233" s="9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7"/>
      <c r="B1234" s="8"/>
      <c r="C1234" s="8"/>
      <c r="D1234" s="8"/>
      <c r="E1234" s="8"/>
      <c r="F1234" s="8"/>
      <c r="G1234" s="8"/>
      <c r="H1234" s="8"/>
      <c r="I1234" s="9"/>
      <c r="J1234" s="9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7"/>
      <c r="B1235" s="8"/>
      <c r="C1235" s="8"/>
      <c r="D1235" s="8"/>
      <c r="E1235" s="8"/>
      <c r="F1235" s="8"/>
      <c r="G1235" s="8"/>
      <c r="H1235" s="8"/>
      <c r="I1235" s="9"/>
      <c r="J1235" s="9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7"/>
      <c r="B1236" s="8"/>
      <c r="C1236" s="8"/>
      <c r="D1236" s="8"/>
      <c r="E1236" s="8"/>
      <c r="F1236" s="8"/>
      <c r="G1236" s="8"/>
      <c r="H1236" s="8"/>
      <c r="I1236" s="9"/>
      <c r="J1236" s="9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7"/>
      <c r="B1237" s="8"/>
      <c r="C1237" s="8"/>
      <c r="D1237" s="8"/>
      <c r="E1237" s="8"/>
      <c r="F1237" s="8"/>
      <c r="G1237" s="8"/>
      <c r="H1237" s="8"/>
      <c r="I1237" s="9"/>
      <c r="J1237" s="9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7"/>
      <c r="B1238" s="8"/>
      <c r="C1238" s="8"/>
      <c r="D1238" s="8"/>
      <c r="E1238" s="8"/>
      <c r="F1238" s="8"/>
      <c r="G1238" s="8"/>
      <c r="H1238" s="8"/>
      <c r="I1238" s="9"/>
      <c r="J1238" s="9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7"/>
      <c r="B1239" s="8"/>
      <c r="C1239" s="8"/>
      <c r="D1239" s="8"/>
      <c r="E1239" s="8"/>
      <c r="F1239" s="8"/>
      <c r="G1239" s="8"/>
      <c r="H1239" s="8"/>
      <c r="I1239" s="9"/>
      <c r="J1239" s="9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7"/>
      <c r="B1240" s="8"/>
      <c r="C1240" s="8"/>
      <c r="D1240" s="8"/>
      <c r="E1240" s="8"/>
      <c r="F1240" s="8"/>
      <c r="G1240" s="8"/>
      <c r="H1240" s="8"/>
      <c r="I1240" s="9"/>
      <c r="J1240" s="9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7"/>
      <c r="B1241" s="8"/>
      <c r="C1241" s="8"/>
      <c r="D1241" s="8"/>
      <c r="E1241" s="8"/>
      <c r="F1241" s="8"/>
      <c r="G1241" s="8"/>
      <c r="H1241" s="8"/>
      <c r="I1241" s="9"/>
      <c r="J1241" s="9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7"/>
      <c r="B1242" s="8"/>
      <c r="C1242" s="8"/>
      <c r="D1242" s="8"/>
      <c r="E1242" s="8"/>
      <c r="F1242" s="8"/>
      <c r="G1242" s="8"/>
      <c r="H1242" s="8"/>
      <c r="I1242" s="9"/>
      <c r="J1242" s="9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7"/>
      <c r="B1243" s="8"/>
      <c r="C1243" s="8"/>
      <c r="D1243" s="8"/>
      <c r="E1243" s="8"/>
      <c r="F1243" s="8"/>
      <c r="G1243" s="8"/>
      <c r="H1243" s="8"/>
      <c r="I1243" s="9"/>
      <c r="J1243" s="9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7"/>
      <c r="B1244" s="8"/>
      <c r="C1244" s="8"/>
      <c r="D1244" s="8"/>
      <c r="E1244" s="8"/>
      <c r="F1244" s="8"/>
      <c r="G1244" s="8"/>
      <c r="H1244" s="8"/>
      <c r="I1244" s="9"/>
      <c r="J1244" s="9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7"/>
      <c r="B1245" s="8"/>
      <c r="C1245" s="8"/>
      <c r="D1245" s="8"/>
      <c r="E1245" s="8"/>
      <c r="F1245" s="8"/>
      <c r="G1245" s="8"/>
      <c r="H1245" s="8"/>
      <c r="I1245" s="9"/>
      <c r="J1245" s="9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7"/>
      <c r="B1246" s="8"/>
      <c r="C1246" s="8"/>
      <c r="D1246" s="8"/>
      <c r="E1246" s="8"/>
      <c r="F1246" s="8"/>
      <c r="G1246" s="8"/>
      <c r="H1246" s="8"/>
      <c r="I1246" s="9"/>
      <c r="J1246" s="9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7"/>
      <c r="B1247" s="8"/>
      <c r="C1247" s="8"/>
      <c r="D1247" s="8"/>
      <c r="E1247" s="8"/>
      <c r="F1247" s="8"/>
      <c r="G1247" s="8"/>
      <c r="H1247" s="8"/>
      <c r="I1247" s="9"/>
      <c r="J1247" s="9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7"/>
      <c r="B1248" s="8"/>
      <c r="C1248" s="8"/>
      <c r="D1248" s="8"/>
      <c r="E1248" s="8"/>
      <c r="F1248" s="8"/>
      <c r="G1248" s="8"/>
      <c r="H1248" s="8"/>
      <c r="I1248" s="9"/>
      <c r="J1248" s="9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7"/>
      <c r="B1249" s="8"/>
      <c r="C1249" s="8"/>
      <c r="D1249" s="8"/>
      <c r="E1249" s="8"/>
      <c r="F1249" s="8"/>
      <c r="G1249" s="8"/>
      <c r="H1249" s="8"/>
      <c r="I1249" s="9"/>
      <c r="J1249" s="9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7"/>
      <c r="B1250" s="8"/>
      <c r="C1250" s="8"/>
      <c r="D1250" s="8"/>
      <c r="E1250" s="8"/>
      <c r="F1250" s="8"/>
      <c r="G1250" s="8"/>
      <c r="H1250" s="8"/>
      <c r="I1250" s="9"/>
      <c r="J1250" s="9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7"/>
      <c r="B1251" s="8"/>
      <c r="C1251" s="8"/>
      <c r="D1251" s="8"/>
      <c r="E1251" s="8"/>
      <c r="F1251" s="8"/>
      <c r="G1251" s="8"/>
      <c r="H1251" s="8"/>
      <c r="I1251" s="9"/>
      <c r="J1251" s="9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7"/>
      <c r="B1252" s="8"/>
      <c r="C1252" s="8"/>
      <c r="D1252" s="8"/>
      <c r="E1252" s="8"/>
      <c r="F1252" s="8"/>
      <c r="G1252" s="8"/>
      <c r="H1252" s="8"/>
      <c r="I1252" s="9"/>
      <c r="J1252" s="9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7"/>
      <c r="B1253" s="8"/>
      <c r="C1253" s="8"/>
      <c r="D1253" s="8"/>
      <c r="E1253" s="8"/>
      <c r="F1253" s="8"/>
      <c r="G1253" s="8"/>
      <c r="H1253" s="8"/>
      <c r="I1253" s="9"/>
      <c r="J1253" s="9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7"/>
      <c r="B1254" s="8"/>
      <c r="C1254" s="8"/>
      <c r="D1254" s="8"/>
      <c r="E1254" s="8"/>
      <c r="F1254" s="8"/>
      <c r="G1254" s="8"/>
      <c r="H1254" s="8"/>
      <c r="I1254" s="9"/>
      <c r="J1254" s="9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7"/>
      <c r="B1255" s="8"/>
      <c r="C1255" s="8"/>
      <c r="D1255" s="8"/>
      <c r="E1255" s="8"/>
      <c r="F1255" s="8"/>
      <c r="G1255" s="8"/>
      <c r="H1255" s="8"/>
      <c r="I1255" s="9"/>
      <c r="J1255" s="9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7"/>
      <c r="B1256" s="8"/>
      <c r="C1256" s="8"/>
      <c r="D1256" s="8"/>
      <c r="E1256" s="8"/>
      <c r="F1256" s="8"/>
      <c r="G1256" s="8"/>
      <c r="H1256" s="8"/>
      <c r="I1256" s="9"/>
      <c r="J1256" s="9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11"/>
      <c r="B1257" s="11"/>
      <c r="C1257" s="11"/>
      <c r="D1257" s="11"/>
      <c r="E1257" s="11"/>
      <c r="F1257" s="11"/>
      <c r="G1257" s="11"/>
      <c r="H1257" s="11"/>
      <c r="I1257" s="20"/>
      <c r="J1257" s="20"/>
      <c r="K1257" s="21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11"/>
      <c r="B1258" s="11"/>
      <c r="C1258" s="11"/>
      <c r="D1258" s="11"/>
      <c r="E1258" s="11"/>
      <c r="F1258" s="11"/>
      <c r="G1258" s="11"/>
      <c r="H1258" s="11"/>
      <c r="I1258" s="20"/>
      <c r="J1258" s="20"/>
      <c r="K1258" s="21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11"/>
      <c r="B1259" s="11"/>
      <c r="C1259" s="11"/>
      <c r="D1259" s="11"/>
      <c r="E1259" s="11"/>
      <c r="F1259" s="11"/>
      <c r="G1259" s="11"/>
      <c r="H1259" s="11"/>
      <c r="I1259" s="20"/>
      <c r="J1259" s="20"/>
      <c r="K1259" s="21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11"/>
      <c r="B1260" s="11"/>
      <c r="C1260" s="11"/>
      <c r="D1260" s="11"/>
      <c r="E1260" s="11"/>
      <c r="F1260" s="11"/>
      <c r="G1260" s="11"/>
      <c r="H1260" s="11"/>
      <c r="I1260" s="20"/>
      <c r="J1260" s="20"/>
      <c r="K1260" s="21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11"/>
      <c r="B1261" s="11"/>
      <c r="C1261" s="11"/>
      <c r="D1261" s="11"/>
      <c r="E1261" s="11"/>
      <c r="F1261" s="11"/>
      <c r="G1261" s="11"/>
      <c r="H1261" s="11"/>
      <c r="I1261" s="20"/>
      <c r="J1261" s="20"/>
      <c r="K1261" s="21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11"/>
      <c r="B1262" s="11"/>
      <c r="C1262" s="11"/>
      <c r="D1262" s="11"/>
      <c r="E1262" s="11"/>
      <c r="F1262" s="11"/>
      <c r="G1262" s="11"/>
      <c r="H1262" s="11"/>
      <c r="I1262" s="20"/>
      <c r="J1262" s="20"/>
      <c r="K1262" s="21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11"/>
      <c r="B1263" s="11"/>
      <c r="C1263" s="11"/>
      <c r="D1263" s="11"/>
      <c r="E1263" s="11"/>
      <c r="F1263" s="11"/>
      <c r="G1263" s="11"/>
      <c r="H1263" s="11"/>
      <c r="I1263" s="20"/>
      <c r="J1263" s="20"/>
      <c r="K1263" s="21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11"/>
      <c r="B1264" s="11"/>
      <c r="C1264" s="11"/>
      <c r="D1264" s="11"/>
      <c r="E1264" s="11"/>
      <c r="F1264" s="11"/>
      <c r="G1264" s="11"/>
      <c r="H1264" s="11"/>
      <c r="I1264" s="20"/>
      <c r="J1264" s="20"/>
      <c r="K1264" s="21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22"/>
      <c r="B1265" s="3"/>
      <c r="C1265" s="3"/>
      <c r="D1265" s="3"/>
      <c r="E1265" s="3"/>
      <c r="F1265" s="3"/>
      <c r="G1265" s="3"/>
      <c r="H1265" s="3"/>
      <c r="I1265" s="2"/>
      <c r="J1265" s="2"/>
      <c r="K1265" s="2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22"/>
      <c r="B1266" s="3"/>
      <c r="C1266" s="3"/>
      <c r="D1266" s="3"/>
      <c r="E1266" s="3"/>
      <c r="F1266" s="3"/>
      <c r="G1266" s="3"/>
      <c r="H1266" s="3"/>
      <c r="I1266" s="2"/>
      <c r="J1266" s="2"/>
      <c r="K1266" s="2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22"/>
      <c r="B1267" s="3"/>
      <c r="C1267" s="3"/>
      <c r="D1267" s="3"/>
      <c r="E1267" s="3"/>
      <c r="F1267" s="3"/>
      <c r="G1267" s="3"/>
      <c r="H1267" s="3"/>
      <c r="I1267" s="2"/>
      <c r="J1267" s="2"/>
      <c r="K1267" s="2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22"/>
      <c r="B1268" s="3"/>
      <c r="C1268" s="3"/>
      <c r="D1268" s="3"/>
      <c r="E1268" s="3"/>
      <c r="F1268" s="3"/>
      <c r="G1268" s="3"/>
      <c r="H1268" s="3"/>
      <c r="I1268" s="2"/>
      <c r="J1268" s="2"/>
      <c r="K1268" s="2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22"/>
      <c r="B1269" s="3"/>
      <c r="C1269" s="3"/>
      <c r="D1269" s="3"/>
      <c r="E1269" s="3"/>
      <c r="F1269" s="3"/>
      <c r="G1269" s="3"/>
      <c r="H1269" s="3"/>
      <c r="I1269" s="2"/>
      <c r="J1269" s="2"/>
      <c r="K1269" s="2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22"/>
      <c r="B1270" s="3"/>
      <c r="C1270" s="3"/>
      <c r="D1270" s="3"/>
      <c r="E1270" s="3"/>
      <c r="F1270" s="3"/>
      <c r="G1270" s="3"/>
      <c r="H1270" s="3"/>
      <c r="I1270" s="2"/>
      <c r="J1270" s="2"/>
      <c r="K1270" s="2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22"/>
      <c r="B1271" s="3"/>
      <c r="C1271" s="3"/>
      <c r="D1271" s="3"/>
      <c r="E1271" s="3"/>
      <c r="F1271" s="3"/>
      <c r="G1271" s="3"/>
      <c r="H1271" s="3"/>
      <c r="I1271" s="2"/>
      <c r="J1271" s="2"/>
      <c r="K1271" s="2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7"/>
      <c r="B1272" s="8"/>
      <c r="C1272" s="8"/>
      <c r="D1272" s="8"/>
      <c r="E1272" s="8"/>
      <c r="F1272" s="8"/>
      <c r="G1272" s="8"/>
      <c r="H1272" s="8"/>
      <c r="I1272" s="9"/>
      <c r="J1272" s="9"/>
      <c r="K1272" s="18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7"/>
      <c r="B1273" s="8"/>
      <c r="C1273" s="8"/>
      <c r="D1273" s="8"/>
      <c r="E1273" s="8"/>
      <c r="F1273" s="8"/>
      <c r="G1273" s="8"/>
      <c r="H1273" s="8"/>
      <c r="I1273" s="9"/>
      <c r="J1273" s="9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7"/>
      <c r="B1274" s="8"/>
      <c r="C1274" s="8"/>
      <c r="D1274" s="8"/>
      <c r="E1274" s="8"/>
      <c r="F1274" s="8"/>
      <c r="G1274" s="8"/>
      <c r="H1274" s="8"/>
      <c r="I1274" s="9"/>
      <c r="J1274" s="9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7"/>
      <c r="B1275" s="8"/>
      <c r="C1275" s="8"/>
      <c r="D1275" s="8"/>
      <c r="E1275" s="8"/>
      <c r="F1275" s="8"/>
      <c r="G1275" s="8"/>
      <c r="H1275" s="8"/>
      <c r="I1275" s="9"/>
      <c r="J1275" s="9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7"/>
      <c r="B1276" s="8"/>
      <c r="C1276" s="8"/>
      <c r="D1276" s="8"/>
      <c r="E1276" s="8"/>
      <c r="F1276" s="8"/>
      <c r="G1276" s="8"/>
      <c r="H1276" s="8"/>
      <c r="I1276" s="9"/>
      <c r="J1276" s="9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7"/>
      <c r="B1277" s="8"/>
      <c r="C1277" s="8"/>
      <c r="D1277" s="8"/>
      <c r="E1277" s="8"/>
      <c r="F1277" s="8"/>
      <c r="G1277" s="8"/>
      <c r="H1277" s="8"/>
      <c r="I1277" s="9"/>
      <c r="J1277" s="9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7"/>
      <c r="B1278" s="8"/>
      <c r="C1278" s="8"/>
      <c r="D1278" s="8"/>
      <c r="E1278" s="8"/>
      <c r="F1278" s="8"/>
      <c r="G1278" s="8"/>
      <c r="H1278" s="8"/>
      <c r="I1278" s="9"/>
      <c r="J1278" s="9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7"/>
      <c r="B1279" s="8"/>
      <c r="C1279" s="8"/>
      <c r="D1279" s="8"/>
      <c r="E1279" s="8"/>
      <c r="F1279" s="8"/>
      <c r="G1279" s="8"/>
      <c r="H1279" s="8"/>
      <c r="I1279" s="9"/>
      <c r="J1279" s="9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7"/>
      <c r="B1280" s="8"/>
      <c r="C1280" s="8"/>
      <c r="D1280" s="8"/>
      <c r="E1280" s="8"/>
      <c r="F1280" s="8"/>
      <c r="G1280" s="8"/>
      <c r="H1280" s="8"/>
      <c r="I1280" s="9"/>
      <c r="J1280" s="9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7"/>
      <c r="B1281" s="8"/>
      <c r="C1281" s="8"/>
      <c r="D1281" s="8"/>
      <c r="E1281" s="8"/>
      <c r="F1281" s="8"/>
      <c r="G1281" s="8"/>
      <c r="H1281" s="8"/>
      <c r="I1281" s="9"/>
      <c r="J1281" s="9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7"/>
      <c r="B1282" s="8"/>
      <c r="C1282" s="8"/>
      <c r="D1282" s="8"/>
      <c r="E1282" s="8"/>
      <c r="F1282" s="8"/>
      <c r="G1282" s="8"/>
      <c r="H1282" s="8"/>
      <c r="I1282" s="9"/>
      <c r="J1282" s="9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7"/>
      <c r="B1283" s="8"/>
      <c r="C1283" s="8"/>
      <c r="D1283" s="8"/>
      <c r="E1283" s="8"/>
      <c r="F1283" s="8"/>
      <c r="G1283" s="8"/>
      <c r="H1283" s="8"/>
      <c r="I1283" s="9"/>
      <c r="J1283" s="9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7"/>
      <c r="B1284" s="8"/>
      <c r="C1284" s="8"/>
      <c r="D1284" s="8"/>
      <c r="E1284" s="8"/>
      <c r="F1284" s="8"/>
      <c r="G1284" s="8"/>
      <c r="H1284" s="8"/>
      <c r="I1284" s="9"/>
      <c r="J1284" s="9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7"/>
      <c r="B1285" s="8"/>
      <c r="C1285" s="8"/>
      <c r="D1285" s="8"/>
      <c r="E1285" s="8"/>
      <c r="F1285" s="8"/>
      <c r="G1285" s="8"/>
      <c r="H1285" s="8"/>
      <c r="I1285" s="9"/>
      <c r="J1285" s="9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7"/>
      <c r="B1286" s="8"/>
      <c r="C1286" s="8"/>
      <c r="D1286" s="8"/>
      <c r="E1286" s="8"/>
      <c r="F1286" s="8"/>
      <c r="G1286" s="8"/>
      <c r="H1286" s="8"/>
      <c r="I1286" s="9"/>
      <c r="J1286" s="9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7"/>
      <c r="B1287" s="8"/>
      <c r="C1287" s="8"/>
      <c r="D1287" s="8"/>
      <c r="E1287" s="8"/>
      <c r="F1287" s="8"/>
      <c r="G1287" s="8"/>
      <c r="H1287" s="8"/>
      <c r="I1287" s="9"/>
      <c r="J1287" s="9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7"/>
      <c r="B1288" s="8"/>
      <c r="C1288" s="8"/>
      <c r="D1288" s="8"/>
      <c r="E1288" s="8"/>
      <c r="F1288" s="8"/>
      <c r="G1288" s="8"/>
      <c r="H1288" s="8"/>
      <c r="I1288" s="9"/>
      <c r="J1288" s="9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7"/>
      <c r="B1289" s="8"/>
      <c r="C1289" s="8"/>
      <c r="D1289" s="8"/>
      <c r="E1289" s="8"/>
      <c r="F1289" s="8"/>
      <c r="G1289" s="8"/>
      <c r="H1289" s="8"/>
      <c r="I1289" s="9"/>
      <c r="J1289" s="9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7"/>
      <c r="B1290" s="8"/>
      <c r="C1290" s="8"/>
      <c r="D1290" s="8"/>
      <c r="E1290" s="8"/>
      <c r="F1290" s="8"/>
      <c r="G1290" s="8"/>
      <c r="H1290" s="8"/>
      <c r="I1290" s="9"/>
      <c r="J1290" s="9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7"/>
      <c r="B1291" s="8"/>
      <c r="C1291" s="8"/>
      <c r="D1291" s="8"/>
      <c r="E1291" s="8"/>
      <c r="F1291" s="8"/>
      <c r="G1291" s="8"/>
      <c r="H1291" s="8"/>
      <c r="I1291" s="9"/>
      <c r="J1291" s="9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7"/>
      <c r="B1292" s="8"/>
      <c r="C1292" s="8"/>
      <c r="D1292" s="8"/>
      <c r="E1292" s="8"/>
      <c r="F1292" s="8"/>
      <c r="G1292" s="8"/>
      <c r="H1292" s="8"/>
      <c r="I1292" s="9"/>
      <c r="J1292" s="9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7"/>
      <c r="B1293" s="8"/>
      <c r="C1293" s="8"/>
      <c r="D1293" s="8"/>
      <c r="E1293" s="8"/>
      <c r="F1293" s="8"/>
      <c r="G1293" s="8"/>
      <c r="H1293" s="8"/>
      <c r="I1293" s="9"/>
      <c r="J1293" s="9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7"/>
      <c r="B1294" s="8"/>
      <c r="C1294" s="8"/>
      <c r="D1294" s="8"/>
      <c r="E1294" s="8"/>
      <c r="F1294" s="8"/>
      <c r="G1294" s="8"/>
      <c r="H1294" s="8"/>
      <c r="I1294" s="9"/>
      <c r="J1294" s="9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7"/>
      <c r="B1295" s="8"/>
      <c r="C1295" s="8"/>
      <c r="D1295" s="8"/>
      <c r="E1295" s="8"/>
      <c r="F1295" s="8"/>
      <c r="G1295" s="8"/>
      <c r="H1295" s="8"/>
      <c r="I1295" s="9"/>
      <c r="J1295" s="9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7"/>
      <c r="B1296" s="8"/>
      <c r="C1296" s="8"/>
      <c r="D1296" s="8"/>
      <c r="E1296" s="8"/>
      <c r="F1296" s="8"/>
      <c r="G1296" s="8"/>
      <c r="H1296" s="8"/>
      <c r="I1296" s="9"/>
      <c r="J1296" s="9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7"/>
      <c r="B1297" s="8"/>
      <c r="C1297" s="8"/>
      <c r="D1297" s="8"/>
      <c r="E1297" s="8"/>
      <c r="F1297" s="8"/>
      <c r="G1297" s="8"/>
      <c r="H1297" s="8"/>
      <c r="I1297" s="9"/>
      <c r="J1297" s="9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7"/>
      <c r="B1298" s="8"/>
      <c r="C1298" s="8"/>
      <c r="D1298" s="8"/>
      <c r="E1298" s="8"/>
      <c r="F1298" s="8"/>
      <c r="G1298" s="8"/>
      <c r="H1298" s="8"/>
      <c r="I1298" s="9"/>
      <c r="J1298" s="9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7"/>
      <c r="B1299" s="8"/>
      <c r="C1299" s="8"/>
      <c r="D1299" s="8"/>
      <c r="E1299" s="8"/>
      <c r="F1299" s="8"/>
      <c r="G1299" s="8"/>
      <c r="H1299" s="8"/>
      <c r="I1299" s="9"/>
      <c r="J1299" s="9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7"/>
      <c r="B1300" s="8"/>
      <c r="C1300" s="8"/>
      <c r="D1300" s="8"/>
      <c r="E1300" s="8"/>
      <c r="F1300" s="8"/>
      <c r="G1300" s="8"/>
      <c r="H1300" s="8"/>
      <c r="I1300" s="9"/>
      <c r="J1300" s="9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7"/>
      <c r="B1301" s="8"/>
      <c r="C1301" s="8"/>
      <c r="D1301" s="8"/>
      <c r="E1301" s="8"/>
      <c r="F1301" s="8"/>
      <c r="G1301" s="8"/>
      <c r="H1301" s="8"/>
      <c r="I1301" s="9"/>
      <c r="J1301" s="9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7"/>
      <c r="B1302" s="8"/>
      <c r="C1302" s="8"/>
      <c r="D1302" s="8"/>
      <c r="E1302" s="8"/>
      <c r="F1302" s="8"/>
      <c r="G1302" s="8"/>
      <c r="H1302" s="8"/>
      <c r="I1302" s="9"/>
      <c r="J1302" s="9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7"/>
      <c r="B1303" s="8"/>
      <c r="C1303" s="8"/>
      <c r="D1303" s="8"/>
      <c r="E1303" s="8"/>
      <c r="F1303" s="8"/>
      <c r="G1303" s="8"/>
      <c r="H1303" s="8"/>
      <c r="I1303" s="9"/>
      <c r="J1303" s="9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7"/>
      <c r="B1304" s="8"/>
      <c r="C1304" s="8"/>
      <c r="D1304" s="8"/>
      <c r="E1304" s="8"/>
      <c r="F1304" s="8"/>
      <c r="G1304" s="8"/>
      <c r="H1304" s="8"/>
      <c r="I1304" s="9"/>
      <c r="J1304" s="9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7"/>
      <c r="B1305" s="8"/>
      <c r="C1305" s="8"/>
      <c r="D1305" s="8"/>
      <c r="E1305" s="8"/>
      <c r="F1305" s="8"/>
      <c r="G1305" s="8"/>
      <c r="H1305" s="8"/>
      <c r="I1305" s="9"/>
      <c r="J1305" s="9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7"/>
      <c r="B1306" s="8"/>
      <c r="C1306" s="8"/>
      <c r="D1306" s="8"/>
      <c r="E1306" s="8"/>
      <c r="F1306" s="8"/>
      <c r="G1306" s="8"/>
      <c r="H1306" s="8"/>
      <c r="I1306" s="9"/>
      <c r="J1306" s="9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7"/>
      <c r="B1307" s="8"/>
      <c r="C1307" s="8"/>
      <c r="D1307" s="8"/>
      <c r="E1307" s="8"/>
      <c r="F1307" s="8"/>
      <c r="G1307" s="8"/>
      <c r="H1307" s="8"/>
      <c r="I1307" s="9"/>
      <c r="J1307" s="9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7"/>
      <c r="B1308" s="8"/>
      <c r="C1308" s="8"/>
      <c r="D1308" s="8"/>
      <c r="E1308" s="8"/>
      <c r="F1308" s="8"/>
      <c r="G1308" s="8"/>
      <c r="H1308" s="8"/>
      <c r="I1308" s="9"/>
      <c r="J1308" s="9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7"/>
      <c r="B1309" s="8"/>
      <c r="C1309" s="8"/>
      <c r="D1309" s="8"/>
      <c r="E1309" s="8"/>
      <c r="F1309" s="8"/>
      <c r="G1309" s="8"/>
      <c r="H1309" s="8"/>
      <c r="I1309" s="9"/>
      <c r="J1309" s="9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7"/>
      <c r="B1310" s="8"/>
      <c r="C1310" s="8"/>
      <c r="D1310" s="8"/>
      <c r="E1310" s="8"/>
      <c r="F1310" s="8"/>
      <c r="G1310" s="8"/>
      <c r="H1310" s="8"/>
      <c r="I1310" s="9"/>
      <c r="J1310" s="9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7"/>
      <c r="B1311" s="8"/>
      <c r="C1311" s="8"/>
      <c r="D1311" s="8"/>
      <c r="E1311" s="8"/>
      <c r="F1311" s="8"/>
      <c r="G1311" s="8"/>
      <c r="H1311" s="8"/>
      <c r="I1311" s="9"/>
      <c r="J1311" s="9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7"/>
      <c r="B1312" s="8"/>
      <c r="C1312" s="8"/>
      <c r="D1312" s="8"/>
      <c r="E1312" s="8"/>
      <c r="F1312" s="8"/>
      <c r="G1312" s="8"/>
      <c r="H1312" s="8"/>
      <c r="I1312" s="9"/>
      <c r="J1312" s="9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7"/>
      <c r="B1313" s="8"/>
      <c r="C1313" s="8"/>
      <c r="D1313" s="8"/>
      <c r="E1313" s="8"/>
      <c r="F1313" s="8"/>
      <c r="G1313" s="8"/>
      <c r="H1313" s="8"/>
      <c r="I1313" s="9"/>
      <c r="J1313" s="9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7"/>
      <c r="B1314" s="8"/>
      <c r="C1314" s="8"/>
      <c r="D1314" s="8"/>
      <c r="E1314" s="8"/>
      <c r="F1314" s="8"/>
      <c r="G1314" s="8"/>
      <c r="H1314" s="8"/>
      <c r="I1314" s="9"/>
      <c r="J1314" s="9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7"/>
      <c r="B1315" s="8"/>
      <c r="C1315" s="8"/>
      <c r="D1315" s="8"/>
      <c r="E1315" s="8"/>
      <c r="F1315" s="8"/>
      <c r="G1315" s="8"/>
      <c r="H1315" s="8"/>
      <c r="I1315" s="9"/>
      <c r="J1315" s="9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7"/>
      <c r="B1316" s="8"/>
      <c r="C1316" s="8"/>
      <c r="D1316" s="8"/>
      <c r="E1316" s="8"/>
      <c r="F1316" s="8"/>
      <c r="G1316" s="8"/>
      <c r="H1316" s="8"/>
      <c r="I1316" s="9"/>
      <c r="J1316" s="9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7"/>
      <c r="B1317" s="8"/>
      <c r="C1317" s="8"/>
      <c r="D1317" s="8"/>
      <c r="E1317" s="8"/>
      <c r="F1317" s="8"/>
      <c r="G1317" s="8"/>
      <c r="H1317" s="8"/>
      <c r="I1317" s="9"/>
      <c r="J1317" s="9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7"/>
      <c r="B1318" s="8"/>
      <c r="C1318" s="8"/>
      <c r="D1318" s="8"/>
      <c r="E1318" s="8"/>
      <c r="F1318" s="8"/>
      <c r="G1318" s="8"/>
      <c r="H1318" s="8"/>
      <c r="I1318" s="9"/>
      <c r="J1318" s="9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7"/>
      <c r="B1319" s="8"/>
      <c r="C1319" s="8"/>
      <c r="D1319" s="8"/>
      <c r="E1319" s="8"/>
      <c r="F1319" s="8"/>
      <c r="G1319" s="8"/>
      <c r="H1319" s="8"/>
      <c r="I1319" s="9"/>
      <c r="J1319" s="9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7"/>
      <c r="B1320" s="8"/>
      <c r="C1320" s="8"/>
      <c r="D1320" s="8"/>
      <c r="E1320" s="8"/>
      <c r="F1320" s="8"/>
      <c r="G1320" s="8"/>
      <c r="H1320" s="8"/>
      <c r="I1320" s="9"/>
      <c r="J1320" s="9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7"/>
      <c r="B1321" s="8"/>
      <c r="C1321" s="8"/>
      <c r="D1321" s="8"/>
      <c r="E1321" s="8"/>
      <c r="F1321" s="8"/>
      <c r="G1321" s="8"/>
      <c r="H1321" s="8"/>
      <c r="I1321" s="9"/>
      <c r="J1321" s="9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7"/>
      <c r="B1322" s="8"/>
      <c r="C1322" s="8"/>
      <c r="D1322" s="8"/>
      <c r="E1322" s="8"/>
      <c r="F1322" s="8"/>
      <c r="G1322" s="8"/>
      <c r="H1322" s="8"/>
      <c r="I1322" s="9"/>
      <c r="J1322" s="9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7"/>
      <c r="B1323" s="8"/>
      <c r="C1323" s="8"/>
      <c r="D1323" s="8"/>
      <c r="E1323" s="8"/>
      <c r="F1323" s="8"/>
      <c r="G1323" s="8"/>
      <c r="H1323" s="8"/>
      <c r="I1323" s="9"/>
      <c r="J1323" s="9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7"/>
      <c r="B1324" s="8"/>
      <c r="C1324" s="8"/>
      <c r="D1324" s="8"/>
      <c r="E1324" s="8"/>
      <c r="F1324" s="8"/>
      <c r="G1324" s="8"/>
      <c r="H1324" s="8"/>
      <c r="I1324" s="9"/>
      <c r="J1324" s="9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7"/>
      <c r="B1325" s="8"/>
      <c r="C1325" s="8"/>
      <c r="D1325" s="8"/>
      <c r="E1325" s="8"/>
      <c r="F1325" s="8"/>
      <c r="G1325" s="8"/>
      <c r="H1325" s="8"/>
      <c r="I1325" s="9"/>
      <c r="J1325" s="9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7"/>
      <c r="B1326" s="8"/>
      <c r="C1326" s="8"/>
      <c r="D1326" s="8"/>
      <c r="E1326" s="8"/>
      <c r="F1326" s="8"/>
      <c r="G1326" s="8"/>
      <c r="H1326" s="8"/>
      <c r="I1326" s="9"/>
      <c r="J1326" s="9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7"/>
      <c r="B1327" s="8"/>
      <c r="C1327" s="8"/>
      <c r="D1327" s="8"/>
      <c r="E1327" s="8"/>
      <c r="F1327" s="8"/>
      <c r="G1327" s="8"/>
      <c r="H1327" s="8"/>
      <c r="I1327" s="9"/>
      <c r="J1327" s="9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7"/>
      <c r="B1328" s="8"/>
      <c r="C1328" s="8"/>
      <c r="D1328" s="8"/>
      <c r="E1328" s="8"/>
      <c r="F1328" s="8"/>
      <c r="G1328" s="8"/>
      <c r="H1328" s="8"/>
      <c r="I1328" s="9"/>
      <c r="J1328" s="9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7"/>
      <c r="B1329" s="8"/>
      <c r="C1329" s="8"/>
      <c r="D1329" s="8"/>
      <c r="E1329" s="8"/>
      <c r="F1329" s="8"/>
      <c r="G1329" s="8"/>
      <c r="H1329" s="8"/>
      <c r="I1329" s="9"/>
      <c r="J1329" s="9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7"/>
      <c r="B1330" s="8"/>
      <c r="C1330" s="8"/>
      <c r="D1330" s="8"/>
      <c r="E1330" s="8"/>
      <c r="F1330" s="8"/>
      <c r="G1330" s="8"/>
      <c r="H1330" s="8"/>
      <c r="I1330" s="9"/>
      <c r="J1330" s="9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7"/>
      <c r="B1331" s="8"/>
      <c r="C1331" s="8"/>
      <c r="D1331" s="8"/>
      <c r="E1331" s="8"/>
      <c r="F1331" s="8"/>
      <c r="G1331" s="8"/>
      <c r="H1331" s="8"/>
      <c r="I1331" s="9"/>
      <c r="J1331" s="9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7"/>
      <c r="B1332" s="8"/>
      <c r="C1332" s="8"/>
      <c r="D1332" s="8"/>
      <c r="E1332" s="8"/>
      <c r="F1332" s="8"/>
      <c r="G1332" s="8"/>
      <c r="H1332" s="8"/>
      <c r="I1332" s="9"/>
      <c r="J1332" s="9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7"/>
      <c r="B1333" s="8"/>
      <c r="C1333" s="8"/>
      <c r="D1333" s="8"/>
      <c r="E1333" s="8"/>
      <c r="F1333" s="8"/>
      <c r="G1333" s="8"/>
      <c r="H1333" s="8"/>
      <c r="I1333" s="9"/>
      <c r="J1333" s="9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7"/>
      <c r="B1334" s="8"/>
      <c r="C1334" s="8"/>
      <c r="D1334" s="8"/>
      <c r="E1334" s="8"/>
      <c r="F1334" s="8"/>
      <c r="G1334" s="8"/>
      <c r="H1334" s="8"/>
      <c r="I1334" s="9"/>
      <c r="J1334" s="9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7"/>
      <c r="B1335" s="8"/>
      <c r="C1335" s="8"/>
      <c r="D1335" s="8"/>
      <c r="E1335" s="8"/>
      <c r="F1335" s="8"/>
      <c r="G1335" s="8"/>
      <c r="H1335" s="8"/>
      <c r="I1335" s="9"/>
      <c r="J1335" s="9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7"/>
      <c r="B1336" s="8"/>
      <c r="C1336" s="8"/>
      <c r="D1336" s="8"/>
      <c r="E1336" s="8"/>
      <c r="F1336" s="8"/>
      <c r="G1336" s="8"/>
      <c r="H1336" s="8"/>
      <c r="I1336" s="9"/>
      <c r="J1336" s="9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7"/>
      <c r="B1337" s="8"/>
      <c r="C1337" s="8"/>
      <c r="D1337" s="8"/>
      <c r="E1337" s="8"/>
      <c r="F1337" s="8"/>
      <c r="G1337" s="8"/>
      <c r="H1337" s="8"/>
      <c r="I1337" s="9"/>
      <c r="J1337" s="9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7"/>
      <c r="B1338" s="8"/>
      <c r="C1338" s="8"/>
      <c r="D1338" s="8"/>
      <c r="E1338" s="8"/>
      <c r="F1338" s="8"/>
      <c r="G1338" s="8"/>
      <c r="H1338" s="8"/>
      <c r="I1338" s="9"/>
      <c r="J1338" s="9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7"/>
      <c r="B1339" s="8"/>
      <c r="C1339" s="8"/>
      <c r="D1339" s="8"/>
      <c r="E1339" s="8"/>
      <c r="F1339" s="8"/>
      <c r="G1339" s="8"/>
      <c r="H1339" s="8"/>
      <c r="I1339" s="9"/>
      <c r="J1339" s="9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7"/>
      <c r="B1340" s="8"/>
      <c r="C1340" s="8"/>
      <c r="D1340" s="8"/>
      <c r="E1340" s="8"/>
      <c r="F1340" s="8"/>
      <c r="G1340" s="8"/>
      <c r="H1340" s="8"/>
      <c r="I1340" s="9"/>
      <c r="J1340" s="9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7"/>
      <c r="B1341" s="8"/>
      <c r="C1341" s="8"/>
      <c r="D1341" s="8"/>
      <c r="E1341" s="8"/>
      <c r="F1341" s="8"/>
      <c r="G1341" s="8"/>
      <c r="H1341" s="8"/>
      <c r="I1341" s="9"/>
      <c r="J1341" s="9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7"/>
      <c r="B1342" s="8"/>
      <c r="C1342" s="8"/>
      <c r="D1342" s="8"/>
      <c r="E1342" s="8"/>
      <c r="F1342" s="8"/>
      <c r="G1342" s="8"/>
      <c r="H1342" s="8"/>
      <c r="I1342" s="9"/>
      <c r="J1342" s="9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7"/>
      <c r="B1343" s="8"/>
      <c r="C1343" s="8"/>
      <c r="D1343" s="8"/>
      <c r="E1343" s="8"/>
      <c r="F1343" s="8"/>
      <c r="G1343" s="8"/>
      <c r="H1343" s="8"/>
      <c r="I1343" s="9"/>
      <c r="J1343" s="9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7"/>
      <c r="B1344" s="8"/>
      <c r="C1344" s="8"/>
      <c r="D1344" s="8"/>
      <c r="E1344" s="8"/>
      <c r="F1344" s="8"/>
      <c r="G1344" s="8"/>
      <c r="H1344" s="8"/>
      <c r="I1344" s="9"/>
      <c r="J1344" s="9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7"/>
      <c r="B1345" s="8"/>
      <c r="C1345" s="8"/>
      <c r="D1345" s="8"/>
      <c r="E1345" s="8"/>
      <c r="F1345" s="8"/>
      <c r="G1345" s="8"/>
      <c r="H1345" s="8"/>
      <c r="I1345" s="9"/>
      <c r="J1345" s="9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7"/>
      <c r="B1346" s="8"/>
      <c r="C1346" s="8"/>
      <c r="D1346" s="8"/>
      <c r="E1346" s="8"/>
      <c r="F1346" s="8"/>
      <c r="G1346" s="8"/>
      <c r="H1346" s="8"/>
      <c r="I1346" s="9"/>
      <c r="J1346" s="9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7"/>
      <c r="B1347" s="8"/>
      <c r="C1347" s="8"/>
      <c r="D1347" s="8"/>
      <c r="E1347" s="8"/>
      <c r="F1347" s="8"/>
      <c r="G1347" s="8"/>
      <c r="H1347" s="8"/>
      <c r="I1347" s="9"/>
      <c r="J1347" s="9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7"/>
      <c r="B1348" s="8"/>
      <c r="C1348" s="8"/>
      <c r="D1348" s="8"/>
      <c r="E1348" s="8"/>
      <c r="F1348" s="8"/>
      <c r="G1348" s="8"/>
      <c r="H1348" s="8"/>
      <c r="I1348" s="9"/>
      <c r="J1348" s="9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7"/>
      <c r="B1349" s="8"/>
      <c r="C1349" s="8"/>
      <c r="D1349" s="8"/>
      <c r="E1349" s="8"/>
      <c r="F1349" s="8"/>
      <c r="G1349" s="8"/>
      <c r="H1349" s="8"/>
      <c r="I1349" s="9"/>
      <c r="J1349" s="9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7"/>
      <c r="B1350" s="8"/>
      <c r="C1350" s="8"/>
      <c r="D1350" s="8"/>
      <c r="E1350" s="8"/>
      <c r="F1350" s="8"/>
      <c r="G1350" s="8"/>
      <c r="H1350" s="8"/>
      <c r="I1350" s="9"/>
      <c r="J1350" s="9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7"/>
      <c r="B1351" s="8"/>
      <c r="C1351" s="8"/>
      <c r="D1351" s="8"/>
      <c r="E1351" s="8"/>
      <c r="F1351" s="8"/>
      <c r="G1351" s="8"/>
      <c r="H1351" s="8"/>
      <c r="I1351" s="9"/>
      <c r="J1351" s="9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7"/>
      <c r="B1352" s="8"/>
      <c r="C1352" s="8"/>
      <c r="D1352" s="8"/>
      <c r="E1352" s="8"/>
      <c r="F1352" s="8"/>
      <c r="G1352" s="8"/>
      <c r="H1352" s="8"/>
      <c r="I1352" s="9"/>
      <c r="J1352" s="9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7"/>
      <c r="B1353" s="8"/>
      <c r="C1353" s="8"/>
      <c r="D1353" s="8"/>
      <c r="E1353" s="8"/>
      <c r="F1353" s="8"/>
      <c r="G1353" s="8"/>
      <c r="H1353" s="8"/>
      <c r="I1353" s="9"/>
      <c r="J1353" s="9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7"/>
      <c r="B1354" s="8"/>
      <c r="C1354" s="8"/>
      <c r="D1354" s="8"/>
      <c r="E1354" s="8"/>
      <c r="F1354" s="8"/>
      <c r="G1354" s="8"/>
      <c r="H1354" s="8"/>
      <c r="I1354" s="9"/>
      <c r="J1354" s="9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7"/>
      <c r="B1355" s="8"/>
      <c r="C1355" s="8"/>
      <c r="D1355" s="8"/>
      <c r="E1355" s="8"/>
      <c r="F1355" s="8"/>
      <c r="G1355" s="8"/>
      <c r="H1355" s="8"/>
      <c r="I1355" s="9"/>
      <c r="J1355" s="9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7"/>
      <c r="B1356" s="8"/>
      <c r="C1356" s="8"/>
      <c r="D1356" s="8"/>
      <c r="E1356" s="8"/>
      <c r="F1356" s="8"/>
      <c r="G1356" s="8"/>
      <c r="H1356" s="8"/>
      <c r="I1356" s="9"/>
      <c r="J1356" s="9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7"/>
      <c r="B1357" s="8"/>
      <c r="C1357" s="8"/>
      <c r="D1357" s="8"/>
      <c r="E1357" s="8"/>
      <c r="F1357" s="8"/>
      <c r="G1357" s="8"/>
      <c r="H1357" s="8"/>
      <c r="I1357" s="9"/>
      <c r="J1357" s="9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7"/>
      <c r="B1358" s="8"/>
      <c r="C1358" s="8"/>
      <c r="D1358" s="8"/>
      <c r="E1358" s="8"/>
      <c r="F1358" s="8"/>
      <c r="G1358" s="8"/>
      <c r="H1358" s="8"/>
      <c r="I1358" s="9"/>
      <c r="J1358" s="9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7"/>
      <c r="B1359" s="8"/>
      <c r="C1359" s="8"/>
      <c r="D1359" s="8"/>
      <c r="E1359" s="8"/>
      <c r="F1359" s="8"/>
      <c r="G1359" s="8"/>
      <c r="H1359" s="8"/>
      <c r="I1359" s="9"/>
      <c r="J1359" s="9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7"/>
      <c r="B1360" s="8"/>
      <c r="C1360" s="8"/>
      <c r="D1360" s="8"/>
      <c r="E1360" s="8"/>
      <c r="F1360" s="8"/>
      <c r="G1360" s="8"/>
      <c r="H1360" s="8"/>
      <c r="I1360" s="9"/>
      <c r="J1360" s="9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7"/>
      <c r="B1361" s="8"/>
      <c r="C1361" s="8"/>
      <c r="D1361" s="8"/>
      <c r="E1361" s="8"/>
      <c r="F1361" s="8"/>
      <c r="G1361" s="8"/>
      <c r="H1361" s="8"/>
      <c r="I1361" s="9"/>
      <c r="J1361" s="9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7"/>
      <c r="B1362" s="8"/>
      <c r="C1362" s="8"/>
      <c r="D1362" s="8"/>
      <c r="E1362" s="8"/>
      <c r="F1362" s="8"/>
      <c r="G1362" s="8"/>
      <c r="H1362" s="8"/>
      <c r="I1362" s="9"/>
      <c r="J1362" s="9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7"/>
      <c r="B1363" s="8"/>
      <c r="C1363" s="8"/>
      <c r="D1363" s="8"/>
      <c r="E1363" s="8"/>
      <c r="F1363" s="8"/>
      <c r="G1363" s="8"/>
      <c r="H1363" s="8"/>
      <c r="I1363" s="9"/>
      <c r="J1363" s="9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7"/>
      <c r="B1364" s="8"/>
      <c r="C1364" s="8"/>
      <c r="D1364" s="8"/>
      <c r="E1364" s="8"/>
      <c r="F1364" s="8"/>
      <c r="G1364" s="8"/>
      <c r="H1364" s="8"/>
      <c r="I1364" s="9"/>
      <c r="J1364" s="9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7"/>
      <c r="B1365" s="8"/>
      <c r="C1365" s="8"/>
      <c r="D1365" s="8"/>
      <c r="E1365" s="8"/>
      <c r="F1365" s="8"/>
      <c r="G1365" s="8"/>
      <c r="H1365" s="8"/>
      <c r="I1365" s="9"/>
      <c r="J1365" s="9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7"/>
      <c r="B1366" s="8"/>
      <c r="C1366" s="8"/>
      <c r="D1366" s="8"/>
      <c r="E1366" s="8"/>
      <c r="F1366" s="8"/>
      <c r="G1366" s="8"/>
      <c r="H1366" s="8"/>
      <c r="I1366" s="9"/>
      <c r="J1366" s="9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7"/>
      <c r="B1367" s="8"/>
      <c r="C1367" s="8"/>
      <c r="D1367" s="8"/>
      <c r="E1367" s="8"/>
      <c r="F1367" s="8"/>
      <c r="G1367" s="8"/>
      <c r="H1367" s="8"/>
      <c r="I1367" s="9"/>
      <c r="J1367" s="9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7"/>
      <c r="B1368" s="8"/>
      <c r="C1368" s="8"/>
      <c r="D1368" s="8"/>
      <c r="E1368" s="8"/>
      <c r="F1368" s="8"/>
      <c r="G1368" s="8"/>
      <c r="H1368" s="8"/>
      <c r="I1368" s="9"/>
      <c r="J1368" s="9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7"/>
      <c r="B1369" s="8"/>
      <c r="C1369" s="8"/>
      <c r="D1369" s="8"/>
      <c r="E1369" s="8"/>
      <c r="F1369" s="8"/>
      <c r="G1369" s="8"/>
      <c r="H1369" s="8"/>
      <c r="I1369" s="9"/>
      <c r="J1369" s="9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7"/>
      <c r="B1370" s="8"/>
      <c r="C1370" s="8"/>
      <c r="D1370" s="8"/>
      <c r="E1370" s="8"/>
      <c r="F1370" s="8"/>
      <c r="G1370" s="8"/>
      <c r="H1370" s="8"/>
      <c r="I1370" s="9"/>
      <c r="J1370" s="9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7"/>
      <c r="B1371" s="8"/>
      <c r="C1371" s="8"/>
      <c r="D1371" s="8"/>
      <c r="E1371" s="8"/>
      <c r="F1371" s="8"/>
      <c r="G1371" s="8"/>
      <c r="H1371" s="8"/>
      <c r="I1371" s="9"/>
      <c r="J1371" s="9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7"/>
      <c r="B1372" s="8"/>
      <c r="C1372" s="8"/>
      <c r="D1372" s="8"/>
      <c r="E1372" s="8"/>
      <c r="F1372" s="8"/>
      <c r="G1372" s="8"/>
      <c r="H1372" s="8"/>
      <c r="I1372" s="9"/>
      <c r="J1372" s="9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7"/>
      <c r="B1373" s="8"/>
      <c r="C1373" s="8"/>
      <c r="D1373" s="8"/>
      <c r="E1373" s="8"/>
      <c r="F1373" s="8"/>
      <c r="G1373" s="8"/>
      <c r="H1373" s="8"/>
      <c r="I1373" s="9"/>
      <c r="J1373" s="9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7"/>
      <c r="B1374" s="8"/>
      <c r="C1374" s="8"/>
      <c r="D1374" s="8"/>
      <c r="E1374" s="8"/>
      <c r="F1374" s="8"/>
      <c r="G1374" s="8"/>
      <c r="H1374" s="8"/>
      <c r="I1374" s="9"/>
      <c r="J1374" s="9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7"/>
      <c r="B1375" s="8"/>
      <c r="C1375" s="8"/>
      <c r="D1375" s="8"/>
      <c r="E1375" s="8"/>
      <c r="F1375" s="8"/>
      <c r="G1375" s="8"/>
      <c r="H1375" s="8"/>
      <c r="I1375" s="9"/>
      <c r="J1375" s="9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7"/>
      <c r="B1376" s="8"/>
      <c r="C1376" s="8"/>
      <c r="D1376" s="8"/>
      <c r="E1376" s="8"/>
      <c r="F1376" s="8"/>
      <c r="G1376" s="8"/>
      <c r="H1376" s="8"/>
      <c r="I1376" s="9"/>
      <c r="J1376" s="9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7"/>
      <c r="B1377" s="8"/>
      <c r="C1377" s="8"/>
      <c r="D1377" s="8"/>
      <c r="E1377" s="8"/>
      <c r="F1377" s="8"/>
      <c r="G1377" s="8"/>
      <c r="H1377" s="8"/>
      <c r="I1377" s="9"/>
      <c r="J1377" s="9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7"/>
      <c r="B1378" s="8"/>
      <c r="C1378" s="8"/>
      <c r="D1378" s="8"/>
      <c r="E1378" s="8"/>
      <c r="F1378" s="8"/>
      <c r="G1378" s="8"/>
      <c r="H1378" s="8"/>
      <c r="I1378" s="9"/>
      <c r="J1378" s="9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7"/>
      <c r="B1379" s="8"/>
      <c r="C1379" s="8"/>
      <c r="D1379" s="8"/>
      <c r="E1379" s="8"/>
      <c r="F1379" s="8"/>
      <c r="G1379" s="8"/>
      <c r="H1379" s="8"/>
      <c r="I1379" s="9"/>
      <c r="J1379" s="9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7"/>
      <c r="B1380" s="8"/>
      <c r="C1380" s="8"/>
      <c r="D1380" s="8"/>
      <c r="E1380" s="8"/>
      <c r="F1380" s="8"/>
      <c r="G1380" s="8"/>
      <c r="H1380" s="8"/>
      <c r="I1380" s="9"/>
      <c r="J1380" s="9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7"/>
      <c r="B1381" s="8"/>
      <c r="C1381" s="8"/>
      <c r="D1381" s="8"/>
      <c r="E1381" s="8"/>
      <c r="F1381" s="8"/>
      <c r="G1381" s="8"/>
      <c r="H1381" s="8"/>
      <c r="I1381" s="9"/>
      <c r="J1381" s="9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7"/>
      <c r="B1382" s="8"/>
      <c r="C1382" s="8"/>
      <c r="D1382" s="8"/>
      <c r="E1382" s="8"/>
      <c r="F1382" s="8"/>
      <c r="G1382" s="8"/>
      <c r="H1382" s="8"/>
      <c r="I1382" s="9"/>
      <c r="J1382" s="9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7"/>
      <c r="B1383" s="8"/>
      <c r="C1383" s="8"/>
      <c r="D1383" s="8"/>
      <c r="E1383" s="8"/>
      <c r="F1383" s="8"/>
      <c r="G1383" s="8"/>
      <c r="H1383" s="8"/>
      <c r="I1383" s="9"/>
      <c r="J1383" s="9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7"/>
      <c r="B1384" s="8"/>
      <c r="C1384" s="8"/>
      <c r="D1384" s="8"/>
      <c r="E1384" s="8"/>
      <c r="F1384" s="8"/>
      <c r="G1384" s="8"/>
      <c r="H1384" s="8"/>
      <c r="I1384" s="9"/>
      <c r="J1384" s="9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7"/>
      <c r="B1385" s="8"/>
      <c r="C1385" s="8"/>
      <c r="D1385" s="8"/>
      <c r="E1385" s="8"/>
      <c r="F1385" s="8"/>
      <c r="G1385" s="8"/>
      <c r="H1385" s="8"/>
      <c r="I1385" s="9"/>
      <c r="J1385" s="9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7"/>
      <c r="B1386" s="8"/>
      <c r="C1386" s="8"/>
      <c r="D1386" s="8"/>
      <c r="E1386" s="8"/>
      <c r="F1386" s="8"/>
      <c r="G1386" s="8"/>
      <c r="H1386" s="8"/>
      <c r="I1386" s="9"/>
      <c r="J1386" s="9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7"/>
      <c r="B1387" s="8"/>
      <c r="C1387" s="8"/>
      <c r="D1387" s="8"/>
      <c r="E1387" s="8"/>
      <c r="F1387" s="8"/>
      <c r="G1387" s="8"/>
      <c r="H1387" s="8"/>
      <c r="I1387" s="9"/>
      <c r="J1387" s="9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7"/>
      <c r="B1388" s="8"/>
      <c r="C1388" s="8"/>
      <c r="D1388" s="8"/>
      <c r="E1388" s="8"/>
      <c r="F1388" s="8"/>
      <c r="G1388" s="8"/>
      <c r="H1388" s="8"/>
      <c r="I1388" s="9"/>
      <c r="J1388" s="9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7"/>
      <c r="B1389" s="8"/>
      <c r="C1389" s="8"/>
      <c r="D1389" s="8"/>
      <c r="E1389" s="8"/>
      <c r="F1389" s="8"/>
      <c r="G1389" s="8"/>
      <c r="H1389" s="8"/>
      <c r="I1389" s="9"/>
      <c r="J1389" s="9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7"/>
      <c r="B1390" s="8"/>
      <c r="C1390" s="8"/>
      <c r="D1390" s="8"/>
      <c r="E1390" s="8"/>
      <c r="F1390" s="8"/>
      <c r="G1390" s="8"/>
      <c r="H1390" s="8"/>
      <c r="I1390" s="9"/>
      <c r="J1390" s="9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7"/>
      <c r="B1391" s="8"/>
      <c r="C1391" s="8"/>
      <c r="D1391" s="8"/>
      <c r="E1391" s="8"/>
      <c r="F1391" s="8"/>
      <c r="G1391" s="8"/>
      <c r="H1391" s="8"/>
      <c r="I1391" s="9"/>
      <c r="J1391" s="9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7"/>
      <c r="B1392" s="8"/>
      <c r="C1392" s="8"/>
      <c r="D1392" s="8"/>
      <c r="E1392" s="8"/>
      <c r="F1392" s="8"/>
      <c r="G1392" s="8"/>
      <c r="H1392" s="8"/>
      <c r="I1392" s="9"/>
      <c r="J1392" s="9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7"/>
      <c r="B1393" s="8"/>
      <c r="C1393" s="8"/>
      <c r="D1393" s="8"/>
      <c r="E1393" s="8"/>
      <c r="F1393" s="8"/>
      <c r="G1393" s="8"/>
      <c r="H1393" s="8"/>
      <c r="I1393" s="9"/>
      <c r="J1393" s="9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7"/>
      <c r="B1394" s="8"/>
      <c r="C1394" s="8"/>
      <c r="D1394" s="8"/>
      <c r="E1394" s="8"/>
      <c r="F1394" s="8"/>
      <c r="G1394" s="8"/>
      <c r="H1394" s="8"/>
      <c r="I1394" s="9"/>
      <c r="J1394" s="9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7"/>
      <c r="B1395" s="8"/>
      <c r="C1395" s="8"/>
      <c r="D1395" s="8"/>
      <c r="E1395" s="8"/>
      <c r="F1395" s="8"/>
      <c r="G1395" s="8"/>
      <c r="H1395" s="8"/>
      <c r="I1395" s="9"/>
      <c r="J1395" s="9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7"/>
      <c r="B1396" s="8"/>
      <c r="C1396" s="8"/>
      <c r="D1396" s="8"/>
      <c r="E1396" s="8"/>
      <c r="F1396" s="8"/>
      <c r="G1396" s="8"/>
      <c r="H1396" s="8"/>
      <c r="I1396" s="9"/>
      <c r="J1396" s="9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7"/>
      <c r="B1397" s="8"/>
      <c r="C1397" s="8"/>
      <c r="D1397" s="8"/>
      <c r="E1397" s="8"/>
      <c r="F1397" s="8"/>
      <c r="G1397" s="8"/>
      <c r="H1397" s="8"/>
      <c r="I1397" s="9"/>
      <c r="J1397" s="9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7"/>
      <c r="B1398" s="8"/>
      <c r="C1398" s="8"/>
      <c r="D1398" s="8"/>
      <c r="E1398" s="8"/>
      <c r="F1398" s="8"/>
      <c r="G1398" s="8"/>
      <c r="H1398" s="8"/>
      <c r="I1398" s="9"/>
      <c r="J1398" s="9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7"/>
      <c r="B1399" s="8"/>
      <c r="C1399" s="8"/>
      <c r="D1399" s="8"/>
      <c r="E1399" s="8"/>
      <c r="F1399" s="8"/>
      <c r="G1399" s="8"/>
      <c r="H1399" s="8"/>
      <c r="I1399" s="9"/>
      <c r="J1399" s="9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7"/>
      <c r="B1400" s="8"/>
      <c r="C1400" s="8"/>
      <c r="D1400" s="8"/>
      <c r="E1400" s="8"/>
      <c r="F1400" s="8"/>
      <c r="G1400" s="8"/>
      <c r="H1400" s="8"/>
      <c r="I1400" s="9"/>
      <c r="J1400" s="9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7"/>
      <c r="B1401" s="8"/>
      <c r="C1401" s="8"/>
      <c r="D1401" s="8"/>
      <c r="E1401" s="8"/>
      <c r="F1401" s="8"/>
      <c r="G1401" s="8"/>
      <c r="H1401" s="8"/>
      <c r="I1401" s="9"/>
      <c r="J1401" s="9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7"/>
      <c r="B1402" s="8"/>
      <c r="C1402" s="8"/>
      <c r="D1402" s="8"/>
      <c r="E1402" s="8"/>
      <c r="F1402" s="8"/>
      <c r="G1402" s="8"/>
      <c r="H1402" s="8"/>
      <c r="I1402" s="9"/>
      <c r="J1402" s="9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7"/>
      <c r="B1403" s="8"/>
      <c r="C1403" s="8"/>
      <c r="D1403" s="8"/>
      <c r="E1403" s="8"/>
      <c r="F1403" s="8"/>
      <c r="G1403" s="8"/>
      <c r="H1403" s="8"/>
      <c r="I1403" s="9"/>
      <c r="J1403" s="9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7"/>
      <c r="B1404" s="8"/>
      <c r="C1404" s="8"/>
      <c r="D1404" s="8"/>
      <c r="E1404" s="8"/>
      <c r="F1404" s="8"/>
      <c r="G1404" s="8"/>
      <c r="H1404" s="8"/>
      <c r="I1404" s="9"/>
      <c r="J1404" s="9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7"/>
      <c r="B1405" s="8"/>
      <c r="C1405" s="8"/>
      <c r="D1405" s="8"/>
      <c r="E1405" s="8"/>
      <c r="F1405" s="8"/>
      <c r="G1405" s="8"/>
      <c r="H1405" s="8"/>
      <c r="I1405" s="9"/>
      <c r="J1405" s="9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7"/>
      <c r="B1406" s="8"/>
      <c r="C1406" s="8"/>
      <c r="D1406" s="8"/>
      <c r="E1406" s="8"/>
      <c r="F1406" s="8"/>
      <c r="G1406" s="8"/>
      <c r="H1406" s="8"/>
      <c r="I1406" s="9"/>
      <c r="J1406" s="9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7"/>
      <c r="B1407" s="8"/>
      <c r="C1407" s="8"/>
      <c r="D1407" s="8"/>
      <c r="E1407" s="8"/>
      <c r="F1407" s="8"/>
      <c r="G1407" s="8"/>
      <c r="H1407" s="8"/>
      <c r="I1407" s="9"/>
      <c r="J1407" s="9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7"/>
      <c r="B1408" s="8"/>
      <c r="C1408" s="8"/>
      <c r="D1408" s="8"/>
      <c r="E1408" s="8"/>
      <c r="F1408" s="8"/>
      <c r="G1408" s="8"/>
      <c r="H1408" s="8"/>
      <c r="I1408" s="9"/>
      <c r="J1408" s="9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7"/>
      <c r="B1409" s="8"/>
      <c r="C1409" s="8"/>
      <c r="D1409" s="8"/>
      <c r="E1409" s="8"/>
      <c r="F1409" s="8"/>
      <c r="G1409" s="8"/>
      <c r="H1409" s="8"/>
      <c r="I1409" s="9"/>
      <c r="J1409" s="9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7"/>
      <c r="B1410" s="8"/>
      <c r="C1410" s="8"/>
      <c r="D1410" s="8"/>
      <c r="E1410" s="8"/>
      <c r="F1410" s="8"/>
      <c r="G1410" s="8"/>
      <c r="H1410" s="8"/>
      <c r="I1410" s="9"/>
      <c r="J1410" s="9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7"/>
      <c r="B1411" s="8"/>
      <c r="C1411" s="8"/>
      <c r="D1411" s="8"/>
      <c r="E1411" s="8"/>
      <c r="F1411" s="8"/>
      <c r="G1411" s="8"/>
      <c r="H1411" s="8"/>
      <c r="I1411" s="9"/>
      <c r="J1411" s="9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7"/>
      <c r="B1412" s="8"/>
      <c r="C1412" s="8"/>
      <c r="D1412" s="8"/>
      <c r="E1412" s="8"/>
      <c r="F1412" s="8"/>
      <c r="G1412" s="8"/>
      <c r="H1412" s="8"/>
      <c r="I1412" s="9"/>
      <c r="J1412" s="9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7"/>
      <c r="B1413" s="8"/>
      <c r="C1413" s="8"/>
      <c r="D1413" s="8"/>
      <c r="E1413" s="8"/>
      <c r="F1413" s="8"/>
      <c r="G1413" s="8"/>
      <c r="H1413" s="8"/>
      <c r="I1413" s="9"/>
      <c r="J1413" s="9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7"/>
      <c r="B1414" s="8"/>
      <c r="C1414" s="8"/>
      <c r="D1414" s="8"/>
      <c r="E1414" s="8"/>
      <c r="F1414" s="8"/>
      <c r="G1414" s="8"/>
      <c r="H1414" s="8"/>
      <c r="I1414" s="9"/>
      <c r="J1414" s="9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7"/>
      <c r="B1415" s="8"/>
      <c r="C1415" s="8"/>
      <c r="D1415" s="8"/>
      <c r="E1415" s="8"/>
      <c r="F1415" s="8"/>
      <c r="G1415" s="8"/>
      <c r="H1415" s="8"/>
      <c r="I1415" s="9"/>
      <c r="J1415" s="9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7"/>
      <c r="B1416" s="8"/>
      <c r="C1416" s="8"/>
      <c r="D1416" s="8"/>
      <c r="E1416" s="8"/>
      <c r="F1416" s="8"/>
      <c r="G1416" s="8"/>
      <c r="H1416" s="8"/>
      <c r="I1416" s="9"/>
      <c r="J1416" s="9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7"/>
      <c r="B1417" s="8"/>
      <c r="C1417" s="8"/>
      <c r="D1417" s="8"/>
      <c r="E1417" s="8"/>
      <c r="F1417" s="8"/>
      <c r="G1417" s="8"/>
      <c r="H1417" s="8"/>
      <c r="I1417" s="9"/>
      <c r="J1417" s="9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7"/>
      <c r="B1418" s="8"/>
      <c r="C1418" s="8"/>
      <c r="D1418" s="8"/>
      <c r="E1418" s="8"/>
      <c r="F1418" s="8"/>
      <c r="G1418" s="8"/>
      <c r="H1418" s="8"/>
      <c r="I1418" s="9"/>
      <c r="J1418" s="9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7"/>
      <c r="B1419" s="8"/>
      <c r="C1419" s="8"/>
      <c r="D1419" s="8"/>
      <c r="E1419" s="8"/>
      <c r="F1419" s="8"/>
      <c r="G1419" s="8"/>
      <c r="H1419" s="8"/>
      <c r="I1419" s="9"/>
      <c r="J1419" s="9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7"/>
      <c r="B1420" s="8"/>
      <c r="C1420" s="8"/>
      <c r="D1420" s="8"/>
      <c r="E1420" s="8"/>
      <c r="F1420" s="8"/>
      <c r="G1420" s="8"/>
      <c r="H1420" s="8"/>
      <c r="I1420" s="9"/>
      <c r="J1420" s="9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7"/>
      <c r="B1421" s="8"/>
      <c r="C1421" s="8"/>
      <c r="D1421" s="8"/>
      <c r="E1421" s="8"/>
      <c r="F1421" s="8"/>
      <c r="G1421" s="8"/>
      <c r="H1421" s="8"/>
      <c r="I1421" s="9"/>
      <c r="J1421" s="9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7"/>
      <c r="B1422" s="8"/>
      <c r="C1422" s="8"/>
      <c r="D1422" s="8"/>
      <c r="E1422" s="8"/>
      <c r="F1422" s="8"/>
      <c r="G1422" s="8"/>
      <c r="H1422" s="8"/>
      <c r="I1422" s="9"/>
      <c r="J1422" s="9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7"/>
      <c r="B1423" s="8"/>
      <c r="C1423" s="8"/>
      <c r="D1423" s="8"/>
      <c r="E1423" s="8"/>
      <c r="F1423" s="8"/>
      <c r="G1423" s="8"/>
      <c r="H1423" s="8"/>
      <c r="I1423" s="9"/>
      <c r="J1423" s="9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7"/>
      <c r="B1424" s="8"/>
      <c r="C1424" s="8"/>
      <c r="D1424" s="8"/>
      <c r="E1424" s="8"/>
      <c r="F1424" s="8"/>
      <c r="G1424" s="8"/>
      <c r="H1424" s="8"/>
      <c r="I1424" s="9"/>
      <c r="J1424" s="9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7"/>
      <c r="B1425" s="8"/>
      <c r="C1425" s="8"/>
      <c r="D1425" s="8"/>
      <c r="E1425" s="8"/>
      <c r="F1425" s="8"/>
      <c r="G1425" s="8"/>
      <c r="H1425" s="8"/>
      <c r="I1425" s="9"/>
      <c r="J1425" s="9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7"/>
      <c r="B1426" s="8"/>
      <c r="C1426" s="8"/>
      <c r="D1426" s="8"/>
      <c r="E1426" s="8"/>
      <c r="F1426" s="8"/>
      <c r="G1426" s="8"/>
      <c r="H1426" s="8"/>
      <c r="I1426" s="9"/>
      <c r="J1426" s="9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7"/>
      <c r="B1427" s="8"/>
      <c r="C1427" s="8"/>
      <c r="D1427" s="8"/>
      <c r="E1427" s="8"/>
      <c r="F1427" s="8"/>
      <c r="G1427" s="8"/>
      <c r="H1427" s="8"/>
      <c r="I1427" s="9"/>
      <c r="J1427" s="9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7"/>
      <c r="B1428" s="8"/>
      <c r="C1428" s="8"/>
      <c r="D1428" s="8"/>
      <c r="E1428" s="8"/>
      <c r="F1428" s="8"/>
      <c r="G1428" s="8"/>
      <c r="H1428" s="8"/>
      <c r="I1428" s="9"/>
      <c r="J1428" s="9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7"/>
      <c r="B1429" s="8"/>
      <c r="C1429" s="8"/>
      <c r="D1429" s="8"/>
      <c r="E1429" s="8"/>
      <c r="F1429" s="8"/>
      <c r="G1429" s="8"/>
      <c r="H1429" s="8"/>
      <c r="I1429" s="9"/>
      <c r="J1429" s="9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7"/>
      <c r="B1430" s="8"/>
      <c r="C1430" s="8"/>
      <c r="D1430" s="8"/>
      <c r="E1430" s="8"/>
      <c r="F1430" s="8"/>
      <c r="G1430" s="8"/>
      <c r="H1430" s="8"/>
      <c r="I1430" s="9"/>
      <c r="J1430" s="9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7"/>
      <c r="B1431" s="8"/>
      <c r="C1431" s="8"/>
      <c r="D1431" s="8"/>
      <c r="E1431" s="8"/>
      <c r="F1431" s="8"/>
      <c r="G1431" s="8"/>
      <c r="H1431" s="8"/>
      <c r="I1431" s="9"/>
      <c r="J1431" s="9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7"/>
      <c r="B1432" s="8"/>
      <c r="C1432" s="8"/>
      <c r="D1432" s="8"/>
      <c r="E1432" s="8"/>
      <c r="F1432" s="8"/>
      <c r="G1432" s="8"/>
      <c r="H1432" s="8"/>
      <c r="I1432" s="9"/>
      <c r="J1432" s="9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7"/>
      <c r="B1433" s="8"/>
      <c r="C1433" s="8"/>
      <c r="D1433" s="8"/>
      <c r="E1433" s="8"/>
      <c r="F1433" s="8"/>
      <c r="G1433" s="8"/>
      <c r="H1433" s="8"/>
      <c r="I1433" s="9"/>
      <c r="J1433" s="9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7"/>
      <c r="B1434" s="8"/>
      <c r="C1434" s="8"/>
      <c r="D1434" s="8"/>
      <c r="E1434" s="8"/>
      <c r="F1434" s="8"/>
      <c r="G1434" s="8"/>
      <c r="H1434" s="8"/>
      <c r="I1434" s="9"/>
      <c r="J1434" s="9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7"/>
      <c r="B1435" s="8"/>
      <c r="C1435" s="8"/>
      <c r="D1435" s="8"/>
      <c r="E1435" s="8"/>
      <c r="F1435" s="8"/>
      <c r="G1435" s="8"/>
      <c r="H1435" s="8"/>
      <c r="I1435" s="9"/>
      <c r="J1435" s="9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7"/>
      <c r="B1436" s="8"/>
      <c r="C1436" s="8"/>
      <c r="D1436" s="8"/>
      <c r="E1436" s="8"/>
      <c r="F1436" s="8"/>
      <c r="G1436" s="8"/>
      <c r="H1436" s="8"/>
      <c r="I1436" s="9"/>
      <c r="J1436" s="9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7"/>
      <c r="B1437" s="8"/>
      <c r="C1437" s="8"/>
      <c r="D1437" s="8"/>
      <c r="E1437" s="8"/>
      <c r="F1437" s="8"/>
      <c r="G1437" s="8"/>
      <c r="H1437" s="8"/>
      <c r="I1437" s="9"/>
      <c r="J1437" s="9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7"/>
      <c r="B1438" s="8"/>
      <c r="C1438" s="8"/>
      <c r="D1438" s="8"/>
      <c r="E1438" s="8"/>
      <c r="F1438" s="8"/>
      <c r="G1438" s="8"/>
      <c r="H1438" s="8"/>
      <c r="I1438" s="9"/>
      <c r="J1438" s="9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7"/>
      <c r="B1439" s="8"/>
      <c r="C1439" s="8"/>
      <c r="D1439" s="8"/>
      <c r="E1439" s="8"/>
      <c r="F1439" s="8"/>
      <c r="G1439" s="8"/>
      <c r="H1439" s="8"/>
      <c r="I1439" s="9"/>
      <c r="J1439" s="9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7"/>
      <c r="B1440" s="8"/>
      <c r="C1440" s="8"/>
      <c r="D1440" s="8"/>
      <c r="E1440" s="8"/>
      <c r="F1440" s="8"/>
      <c r="G1440" s="8"/>
      <c r="H1440" s="8"/>
      <c r="I1440" s="9"/>
      <c r="J1440" s="9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7"/>
      <c r="B1441" s="8"/>
      <c r="C1441" s="8"/>
      <c r="D1441" s="8"/>
      <c r="E1441" s="8"/>
      <c r="F1441" s="8"/>
      <c r="G1441" s="8"/>
      <c r="H1441" s="8"/>
      <c r="I1441" s="9"/>
      <c r="J1441" s="9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7"/>
      <c r="B1442" s="8"/>
      <c r="C1442" s="8"/>
      <c r="D1442" s="8"/>
      <c r="E1442" s="8"/>
      <c r="F1442" s="8"/>
      <c r="G1442" s="8"/>
      <c r="H1442" s="8"/>
      <c r="I1442" s="9"/>
      <c r="J1442" s="9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7"/>
      <c r="B1443" s="8"/>
      <c r="C1443" s="8"/>
      <c r="D1443" s="8"/>
      <c r="E1443" s="8"/>
      <c r="F1443" s="8"/>
      <c r="G1443" s="8"/>
      <c r="H1443" s="8"/>
      <c r="I1443" s="9"/>
      <c r="J1443" s="9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7"/>
      <c r="B1444" s="8"/>
      <c r="C1444" s="8"/>
      <c r="D1444" s="8"/>
      <c r="E1444" s="8"/>
      <c r="F1444" s="8"/>
      <c r="G1444" s="8"/>
      <c r="H1444" s="8"/>
      <c r="I1444" s="9"/>
      <c r="J1444" s="9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7"/>
      <c r="B1445" s="8"/>
      <c r="C1445" s="8"/>
      <c r="D1445" s="8"/>
      <c r="E1445" s="8"/>
      <c r="F1445" s="8"/>
      <c r="G1445" s="8"/>
      <c r="H1445" s="8"/>
      <c r="I1445" s="9"/>
      <c r="J1445" s="9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7"/>
      <c r="B1446" s="8"/>
      <c r="C1446" s="8"/>
      <c r="D1446" s="8"/>
      <c r="E1446" s="8"/>
      <c r="F1446" s="8"/>
      <c r="G1446" s="8"/>
      <c r="H1446" s="8"/>
      <c r="I1446" s="9"/>
      <c r="J1446" s="9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7"/>
      <c r="B1447" s="8"/>
      <c r="C1447" s="8"/>
      <c r="D1447" s="8"/>
      <c r="E1447" s="8"/>
      <c r="F1447" s="8"/>
      <c r="G1447" s="8"/>
      <c r="H1447" s="8"/>
      <c r="I1447" s="9"/>
      <c r="J1447" s="9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7"/>
      <c r="B1448" s="8"/>
      <c r="C1448" s="8"/>
      <c r="D1448" s="8"/>
      <c r="E1448" s="8"/>
      <c r="F1448" s="8"/>
      <c r="G1448" s="8"/>
      <c r="H1448" s="8"/>
      <c r="I1448" s="9"/>
      <c r="J1448" s="9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7"/>
      <c r="B1449" s="8"/>
      <c r="C1449" s="8"/>
      <c r="D1449" s="8"/>
      <c r="E1449" s="8"/>
      <c r="F1449" s="8"/>
      <c r="G1449" s="8"/>
      <c r="H1449" s="8"/>
      <c r="I1449" s="9"/>
      <c r="J1449" s="9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7"/>
      <c r="B1450" s="8"/>
      <c r="C1450" s="8"/>
      <c r="D1450" s="8"/>
      <c r="E1450" s="8"/>
      <c r="F1450" s="8"/>
      <c r="G1450" s="8"/>
      <c r="H1450" s="8"/>
      <c r="I1450" s="9"/>
      <c r="J1450" s="9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7"/>
      <c r="B1451" s="8"/>
      <c r="C1451" s="8"/>
      <c r="D1451" s="8"/>
      <c r="E1451" s="8"/>
      <c r="F1451" s="8"/>
      <c r="G1451" s="8"/>
      <c r="H1451" s="8"/>
      <c r="I1451" s="9"/>
      <c r="J1451" s="9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7"/>
      <c r="B1452" s="8"/>
      <c r="C1452" s="8"/>
      <c r="D1452" s="8"/>
      <c r="E1452" s="8"/>
      <c r="F1452" s="8"/>
      <c r="G1452" s="8"/>
      <c r="H1452" s="8"/>
      <c r="I1452" s="9"/>
      <c r="J1452" s="9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7"/>
      <c r="B1453" s="8"/>
      <c r="C1453" s="8"/>
      <c r="D1453" s="8"/>
      <c r="E1453" s="8"/>
      <c r="F1453" s="8"/>
      <c r="G1453" s="8"/>
      <c r="H1453" s="8"/>
      <c r="I1453" s="9"/>
      <c r="J1453" s="9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7"/>
      <c r="B1454" s="8"/>
      <c r="C1454" s="8"/>
      <c r="D1454" s="8"/>
      <c r="E1454" s="8"/>
      <c r="F1454" s="8"/>
      <c r="G1454" s="8"/>
      <c r="H1454" s="8"/>
      <c r="I1454" s="9"/>
      <c r="J1454" s="9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7"/>
      <c r="B1455" s="8"/>
      <c r="C1455" s="8"/>
      <c r="D1455" s="8"/>
      <c r="E1455" s="8"/>
      <c r="F1455" s="8"/>
      <c r="G1455" s="8"/>
      <c r="H1455" s="8"/>
      <c r="I1455" s="9"/>
      <c r="J1455" s="9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7"/>
      <c r="B1456" s="8"/>
      <c r="C1456" s="8"/>
      <c r="D1456" s="8"/>
      <c r="E1456" s="8"/>
      <c r="F1456" s="8"/>
      <c r="G1456" s="8"/>
      <c r="H1456" s="8"/>
      <c r="I1456" s="9"/>
      <c r="J1456" s="9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7"/>
      <c r="B1457" s="8"/>
      <c r="C1457" s="8"/>
      <c r="D1457" s="8"/>
      <c r="E1457" s="8"/>
      <c r="F1457" s="8"/>
      <c r="G1457" s="8"/>
      <c r="H1457" s="8"/>
      <c r="I1457" s="9"/>
      <c r="J1457" s="9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7"/>
      <c r="B1458" s="8"/>
      <c r="C1458" s="8"/>
      <c r="D1458" s="8"/>
      <c r="E1458" s="8"/>
      <c r="F1458" s="8"/>
      <c r="G1458" s="8"/>
      <c r="H1458" s="8"/>
      <c r="I1458" s="9"/>
      <c r="J1458" s="9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7"/>
      <c r="B1459" s="8"/>
      <c r="C1459" s="8"/>
      <c r="D1459" s="8"/>
      <c r="E1459" s="8"/>
      <c r="F1459" s="8"/>
      <c r="G1459" s="8"/>
      <c r="H1459" s="8"/>
      <c r="I1459" s="9"/>
      <c r="J1459" s="9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7"/>
      <c r="B1460" s="8"/>
      <c r="C1460" s="8"/>
      <c r="D1460" s="8"/>
      <c r="E1460" s="8"/>
      <c r="F1460" s="8"/>
      <c r="G1460" s="8"/>
      <c r="H1460" s="8"/>
      <c r="I1460" s="9"/>
      <c r="J1460" s="9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7"/>
      <c r="B1461" s="8"/>
      <c r="C1461" s="8"/>
      <c r="D1461" s="8"/>
      <c r="E1461" s="8"/>
      <c r="F1461" s="8"/>
      <c r="G1461" s="8"/>
      <c r="H1461" s="8"/>
      <c r="I1461" s="9"/>
      <c r="J1461" s="9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7"/>
      <c r="B1462" s="8"/>
      <c r="C1462" s="8"/>
      <c r="D1462" s="8"/>
      <c r="E1462" s="8"/>
      <c r="F1462" s="8"/>
      <c r="G1462" s="8"/>
      <c r="H1462" s="8"/>
      <c r="I1462" s="9"/>
      <c r="J1462" s="9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7"/>
      <c r="B1463" s="8"/>
      <c r="C1463" s="8"/>
      <c r="D1463" s="8"/>
      <c r="E1463" s="8"/>
      <c r="F1463" s="8"/>
      <c r="G1463" s="8"/>
      <c r="H1463" s="8"/>
      <c r="I1463" s="9"/>
      <c r="J1463" s="9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7"/>
      <c r="B1464" s="8"/>
      <c r="C1464" s="8"/>
      <c r="D1464" s="8"/>
      <c r="E1464" s="8"/>
      <c r="F1464" s="8"/>
      <c r="G1464" s="8"/>
      <c r="H1464" s="8"/>
      <c r="I1464" s="9"/>
      <c r="J1464" s="9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7"/>
      <c r="B1465" s="8"/>
      <c r="C1465" s="8"/>
      <c r="D1465" s="8"/>
      <c r="E1465" s="8"/>
      <c r="F1465" s="8"/>
      <c r="G1465" s="8"/>
      <c r="H1465" s="8"/>
      <c r="I1465" s="9"/>
      <c r="J1465" s="9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7"/>
      <c r="B1466" s="8"/>
      <c r="C1466" s="8"/>
      <c r="D1466" s="8"/>
      <c r="E1466" s="8"/>
      <c r="F1466" s="8"/>
      <c r="G1466" s="8"/>
      <c r="H1466" s="8"/>
      <c r="I1466" s="9"/>
      <c r="J1466" s="9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7"/>
      <c r="B1467" s="8"/>
      <c r="C1467" s="8"/>
      <c r="D1467" s="8"/>
      <c r="E1467" s="8"/>
      <c r="F1467" s="8"/>
      <c r="G1467" s="8"/>
      <c r="H1467" s="8"/>
      <c r="I1467" s="9"/>
      <c r="J1467" s="9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7"/>
      <c r="B1468" s="8"/>
      <c r="C1468" s="8"/>
      <c r="D1468" s="8"/>
      <c r="E1468" s="8"/>
      <c r="F1468" s="8"/>
      <c r="G1468" s="8"/>
      <c r="H1468" s="8"/>
      <c r="I1468" s="9"/>
      <c r="J1468" s="9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7"/>
      <c r="B1469" s="8"/>
      <c r="C1469" s="8"/>
      <c r="D1469" s="8"/>
      <c r="E1469" s="8"/>
      <c r="F1469" s="8"/>
      <c r="G1469" s="8"/>
      <c r="H1469" s="8"/>
      <c r="I1469" s="9"/>
      <c r="J1469" s="9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7"/>
      <c r="B1470" s="8"/>
      <c r="C1470" s="8"/>
      <c r="D1470" s="8"/>
      <c r="E1470" s="8"/>
      <c r="F1470" s="8"/>
      <c r="G1470" s="8"/>
      <c r="H1470" s="8"/>
      <c r="I1470" s="9"/>
      <c r="J1470" s="9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7"/>
      <c r="B1471" s="8"/>
      <c r="C1471" s="8"/>
      <c r="D1471" s="8"/>
      <c r="E1471" s="8"/>
      <c r="F1471" s="8"/>
      <c r="G1471" s="8"/>
      <c r="H1471" s="8"/>
      <c r="I1471" s="9"/>
      <c r="J1471" s="9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7"/>
      <c r="B1472" s="8"/>
      <c r="C1472" s="8"/>
      <c r="D1472" s="8"/>
      <c r="E1472" s="8"/>
      <c r="F1472" s="8"/>
      <c r="G1472" s="8"/>
      <c r="H1472" s="8"/>
      <c r="I1472" s="9"/>
      <c r="J1472" s="9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7"/>
      <c r="B1473" s="8"/>
      <c r="C1473" s="8"/>
      <c r="D1473" s="8"/>
      <c r="E1473" s="8"/>
      <c r="F1473" s="8"/>
      <c r="G1473" s="8"/>
      <c r="H1473" s="8"/>
      <c r="I1473" s="9"/>
      <c r="J1473" s="9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7"/>
      <c r="B1474" s="8"/>
      <c r="C1474" s="8"/>
      <c r="D1474" s="8"/>
      <c r="E1474" s="8"/>
      <c r="F1474" s="8"/>
      <c r="G1474" s="8"/>
      <c r="H1474" s="8"/>
      <c r="I1474" s="9"/>
      <c r="J1474" s="9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7"/>
      <c r="B1475" s="8"/>
      <c r="C1475" s="8"/>
      <c r="D1475" s="8"/>
      <c r="E1475" s="8"/>
      <c r="F1475" s="8"/>
      <c r="G1475" s="8"/>
      <c r="H1475" s="8"/>
      <c r="I1475" s="9"/>
      <c r="J1475" s="9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7"/>
      <c r="B1476" s="8"/>
      <c r="C1476" s="8"/>
      <c r="D1476" s="8"/>
      <c r="E1476" s="8"/>
      <c r="F1476" s="8"/>
      <c r="G1476" s="8"/>
      <c r="H1476" s="8"/>
      <c r="I1476" s="9"/>
      <c r="J1476" s="9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7"/>
      <c r="B1477" s="8"/>
      <c r="C1477" s="8"/>
      <c r="D1477" s="8"/>
      <c r="E1477" s="8"/>
      <c r="F1477" s="8"/>
      <c r="G1477" s="8"/>
      <c r="H1477" s="8"/>
      <c r="I1477" s="9"/>
      <c r="J1477" s="9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7"/>
      <c r="B1478" s="8"/>
      <c r="C1478" s="8"/>
      <c r="D1478" s="8"/>
      <c r="E1478" s="8"/>
      <c r="F1478" s="8"/>
      <c r="G1478" s="8"/>
      <c r="H1478" s="8"/>
      <c r="I1478" s="9"/>
      <c r="J1478" s="9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7"/>
      <c r="B1479" s="8"/>
      <c r="C1479" s="8"/>
      <c r="D1479" s="8"/>
      <c r="E1479" s="8"/>
      <c r="F1479" s="8"/>
      <c r="G1479" s="8"/>
      <c r="H1479" s="8"/>
      <c r="I1479" s="9"/>
      <c r="J1479" s="9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7"/>
      <c r="B1480" s="8"/>
      <c r="C1480" s="8"/>
      <c r="D1480" s="8"/>
      <c r="E1480" s="8"/>
      <c r="F1480" s="8"/>
      <c r="G1480" s="8"/>
      <c r="H1480" s="8"/>
      <c r="I1480" s="9"/>
      <c r="J1480" s="9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7"/>
      <c r="B1481" s="8"/>
      <c r="C1481" s="8"/>
      <c r="D1481" s="8"/>
      <c r="E1481" s="8"/>
      <c r="F1481" s="8"/>
      <c r="G1481" s="8"/>
      <c r="H1481" s="8"/>
      <c r="I1481" s="9"/>
      <c r="J1481" s="9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7"/>
      <c r="B1482" s="8"/>
      <c r="C1482" s="8"/>
      <c r="D1482" s="8"/>
      <c r="E1482" s="8"/>
      <c r="F1482" s="8"/>
      <c r="G1482" s="8"/>
      <c r="H1482" s="8"/>
      <c r="I1482" s="9"/>
      <c r="J1482" s="9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7"/>
      <c r="B1483" s="8"/>
      <c r="C1483" s="8"/>
      <c r="D1483" s="8"/>
      <c r="E1483" s="8"/>
      <c r="F1483" s="8"/>
      <c r="G1483" s="8"/>
      <c r="H1483" s="8"/>
      <c r="I1483" s="9"/>
      <c r="J1483" s="9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7"/>
      <c r="B1484" s="8"/>
      <c r="C1484" s="8"/>
      <c r="D1484" s="8"/>
      <c r="E1484" s="8"/>
      <c r="F1484" s="8"/>
      <c r="G1484" s="8"/>
      <c r="H1484" s="8"/>
      <c r="I1484" s="9"/>
      <c r="J1484" s="9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7"/>
      <c r="B1485" s="8"/>
      <c r="C1485" s="8"/>
      <c r="D1485" s="8"/>
      <c r="E1485" s="8"/>
      <c r="F1485" s="8"/>
      <c r="G1485" s="8"/>
      <c r="H1485" s="8"/>
      <c r="I1485" s="9"/>
      <c r="J1485" s="9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7"/>
      <c r="B1486" s="8"/>
      <c r="C1486" s="8"/>
      <c r="D1486" s="8"/>
      <c r="E1486" s="8"/>
      <c r="F1486" s="8"/>
      <c r="G1486" s="8"/>
      <c r="H1486" s="8"/>
      <c r="I1486" s="9"/>
      <c r="J1486" s="9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7"/>
      <c r="B1487" s="8"/>
      <c r="C1487" s="8"/>
      <c r="D1487" s="8"/>
      <c r="E1487" s="8"/>
      <c r="F1487" s="8"/>
      <c r="G1487" s="8"/>
      <c r="H1487" s="8"/>
      <c r="I1487" s="9"/>
      <c r="J1487" s="9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7"/>
      <c r="B1488" s="8"/>
      <c r="C1488" s="8"/>
      <c r="D1488" s="8"/>
      <c r="E1488" s="8"/>
      <c r="F1488" s="8"/>
      <c r="G1488" s="8"/>
      <c r="H1488" s="8"/>
      <c r="I1488" s="9"/>
      <c r="J1488" s="9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7"/>
      <c r="B1489" s="8"/>
      <c r="C1489" s="8"/>
      <c r="D1489" s="8"/>
      <c r="E1489" s="8"/>
      <c r="F1489" s="8"/>
      <c r="G1489" s="8"/>
      <c r="H1489" s="8"/>
      <c r="I1489" s="9"/>
      <c r="J1489" s="9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7"/>
      <c r="B1490" s="8"/>
      <c r="C1490" s="8"/>
      <c r="D1490" s="8"/>
      <c r="E1490" s="8"/>
      <c r="F1490" s="8"/>
      <c r="G1490" s="8"/>
      <c r="H1490" s="8"/>
      <c r="I1490" s="9"/>
      <c r="J1490" s="9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7"/>
      <c r="B1491" s="8"/>
      <c r="C1491" s="8"/>
      <c r="D1491" s="8"/>
      <c r="E1491" s="8"/>
      <c r="F1491" s="8"/>
      <c r="G1491" s="8"/>
      <c r="H1491" s="8"/>
      <c r="I1491" s="9"/>
      <c r="J1491" s="9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7"/>
      <c r="B1492" s="8"/>
      <c r="C1492" s="8"/>
      <c r="D1492" s="8"/>
      <c r="E1492" s="8"/>
      <c r="F1492" s="8"/>
      <c r="G1492" s="8"/>
      <c r="H1492" s="8"/>
      <c r="I1492" s="9"/>
      <c r="J1492" s="9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7"/>
      <c r="B1493" s="8"/>
      <c r="C1493" s="8"/>
      <c r="D1493" s="8"/>
      <c r="E1493" s="8"/>
      <c r="F1493" s="8"/>
      <c r="G1493" s="8"/>
      <c r="H1493" s="8"/>
      <c r="I1493" s="9"/>
      <c r="J1493" s="9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7"/>
      <c r="B1494" s="8"/>
      <c r="C1494" s="8"/>
      <c r="D1494" s="8"/>
      <c r="E1494" s="8"/>
      <c r="F1494" s="8"/>
      <c r="G1494" s="8"/>
      <c r="H1494" s="8"/>
      <c r="I1494" s="9"/>
      <c r="J1494" s="9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7"/>
      <c r="B1495" s="8"/>
      <c r="C1495" s="8"/>
      <c r="D1495" s="8"/>
      <c r="E1495" s="8"/>
      <c r="F1495" s="8"/>
      <c r="G1495" s="8"/>
      <c r="H1495" s="8"/>
      <c r="I1495" s="9"/>
      <c r="J1495" s="9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7"/>
      <c r="B1496" s="8"/>
      <c r="C1496" s="8"/>
      <c r="D1496" s="8"/>
      <c r="E1496" s="8"/>
      <c r="F1496" s="8"/>
      <c r="G1496" s="8"/>
      <c r="H1496" s="8"/>
      <c r="I1496" s="9"/>
      <c r="J1496" s="9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7"/>
      <c r="B1497" s="8"/>
      <c r="C1497" s="8"/>
      <c r="D1497" s="8"/>
      <c r="E1497" s="8"/>
      <c r="F1497" s="8"/>
      <c r="G1497" s="8"/>
      <c r="H1497" s="8"/>
      <c r="I1497" s="9"/>
      <c r="J1497" s="9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7"/>
      <c r="B1498" s="8"/>
      <c r="C1498" s="8"/>
      <c r="D1498" s="8"/>
      <c r="E1498" s="8"/>
      <c r="F1498" s="8"/>
      <c r="G1498" s="8"/>
      <c r="H1498" s="8"/>
      <c r="I1498" s="9"/>
      <c r="J1498" s="9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7"/>
      <c r="B1499" s="8"/>
      <c r="C1499" s="8"/>
      <c r="D1499" s="8"/>
      <c r="E1499" s="8"/>
      <c r="F1499" s="8"/>
      <c r="G1499" s="8"/>
      <c r="H1499" s="8"/>
      <c r="I1499" s="9"/>
      <c r="J1499" s="9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7"/>
      <c r="B1500" s="8"/>
      <c r="C1500" s="8"/>
      <c r="D1500" s="8"/>
      <c r="E1500" s="8"/>
      <c r="F1500" s="8"/>
      <c r="G1500" s="8"/>
      <c r="H1500" s="8"/>
      <c r="I1500" s="9"/>
      <c r="J1500" s="9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7"/>
      <c r="B1501" s="8"/>
      <c r="C1501" s="8"/>
      <c r="D1501" s="8"/>
      <c r="E1501" s="8"/>
      <c r="F1501" s="8"/>
      <c r="G1501" s="8"/>
      <c r="H1501" s="8"/>
      <c r="I1501" s="9"/>
      <c r="J1501" s="9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7"/>
      <c r="B1502" s="8"/>
      <c r="C1502" s="8"/>
      <c r="D1502" s="8"/>
      <c r="E1502" s="8"/>
      <c r="F1502" s="8"/>
      <c r="G1502" s="8"/>
      <c r="H1502" s="8"/>
      <c r="I1502" s="9"/>
      <c r="J1502" s="9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7"/>
      <c r="B1503" s="8"/>
      <c r="C1503" s="8"/>
      <c r="D1503" s="8"/>
      <c r="E1503" s="8"/>
      <c r="F1503" s="8"/>
      <c r="G1503" s="8"/>
      <c r="H1503" s="8"/>
      <c r="I1503" s="9"/>
      <c r="J1503" s="9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7"/>
      <c r="B1504" s="8"/>
      <c r="C1504" s="8"/>
      <c r="D1504" s="8"/>
      <c r="E1504" s="8"/>
      <c r="F1504" s="8"/>
      <c r="G1504" s="8"/>
      <c r="H1504" s="8"/>
      <c r="I1504" s="9"/>
      <c r="J1504" s="9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7"/>
      <c r="B1505" s="8"/>
      <c r="C1505" s="8"/>
      <c r="D1505" s="8"/>
      <c r="E1505" s="8"/>
      <c r="F1505" s="8"/>
      <c r="G1505" s="8"/>
      <c r="H1505" s="8"/>
      <c r="I1505" s="9"/>
      <c r="J1505" s="9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7"/>
      <c r="B1506" s="8"/>
      <c r="C1506" s="8"/>
      <c r="D1506" s="8"/>
      <c r="E1506" s="8"/>
      <c r="F1506" s="8"/>
      <c r="G1506" s="8"/>
      <c r="H1506" s="8"/>
      <c r="I1506" s="9"/>
      <c r="J1506" s="9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7"/>
      <c r="B1507" s="8"/>
      <c r="C1507" s="8"/>
      <c r="D1507" s="8"/>
      <c r="E1507" s="8"/>
      <c r="F1507" s="8"/>
      <c r="G1507" s="8"/>
      <c r="H1507" s="8"/>
      <c r="I1507" s="9"/>
      <c r="J1507" s="9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7"/>
      <c r="B1508" s="8"/>
      <c r="C1508" s="8"/>
      <c r="D1508" s="8"/>
      <c r="E1508" s="8"/>
      <c r="F1508" s="8"/>
      <c r="G1508" s="8"/>
      <c r="H1508" s="8"/>
      <c r="I1508" s="9"/>
      <c r="J1508" s="9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7"/>
      <c r="B1509" s="8"/>
      <c r="C1509" s="8"/>
      <c r="D1509" s="8"/>
      <c r="E1509" s="8"/>
      <c r="F1509" s="8"/>
      <c r="G1509" s="8"/>
      <c r="H1509" s="8"/>
      <c r="I1509" s="9"/>
      <c r="J1509" s="9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7"/>
      <c r="B1510" s="8"/>
      <c r="C1510" s="8"/>
      <c r="D1510" s="8"/>
      <c r="E1510" s="8"/>
      <c r="F1510" s="8"/>
      <c r="G1510" s="8"/>
      <c r="H1510" s="8"/>
      <c r="I1510" s="9"/>
      <c r="J1510" s="9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7"/>
      <c r="B1511" s="8"/>
      <c r="C1511" s="8"/>
      <c r="D1511" s="8"/>
      <c r="E1511" s="8"/>
      <c r="F1511" s="8"/>
      <c r="G1511" s="8"/>
      <c r="H1511" s="8"/>
      <c r="I1511" s="9"/>
      <c r="J1511" s="9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7"/>
      <c r="B1512" s="8"/>
      <c r="C1512" s="8"/>
      <c r="D1512" s="8"/>
      <c r="E1512" s="8"/>
      <c r="F1512" s="8"/>
      <c r="G1512" s="8"/>
      <c r="H1512" s="8"/>
      <c r="I1512" s="9"/>
      <c r="J1512" s="9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7"/>
      <c r="B1513" s="8"/>
      <c r="C1513" s="8"/>
      <c r="D1513" s="8"/>
      <c r="E1513" s="8"/>
      <c r="F1513" s="8"/>
      <c r="G1513" s="8"/>
      <c r="H1513" s="8"/>
      <c r="I1513" s="9"/>
      <c r="J1513" s="9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7"/>
      <c r="B1514" s="8"/>
      <c r="C1514" s="8"/>
      <c r="D1514" s="8"/>
      <c r="E1514" s="8"/>
      <c r="F1514" s="8"/>
      <c r="G1514" s="8"/>
      <c r="H1514" s="8"/>
      <c r="I1514" s="9"/>
      <c r="J1514" s="9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7"/>
      <c r="B1515" s="8"/>
      <c r="C1515" s="8"/>
      <c r="D1515" s="8"/>
      <c r="E1515" s="8"/>
      <c r="F1515" s="8"/>
      <c r="G1515" s="8"/>
      <c r="H1515" s="8"/>
      <c r="I1515" s="9"/>
      <c r="J1515" s="9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7"/>
      <c r="B1516" s="8"/>
      <c r="C1516" s="8"/>
      <c r="D1516" s="8"/>
      <c r="E1516" s="8"/>
      <c r="F1516" s="8"/>
      <c r="G1516" s="8"/>
      <c r="H1516" s="8"/>
      <c r="I1516" s="9"/>
      <c r="J1516" s="9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7"/>
      <c r="B1517" s="8"/>
      <c r="C1517" s="8"/>
      <c r="D1517" s="8"/>
      <c r="E1517" s="8"/>
      <c r="F1517" s="8"/>
      <c r="G1517" s="8"/>
      <c r="H1517" s="8"/>
      <c r="I1517" s="9"/>
      <c r="J1517" s="9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7"/>
      <c r="B1518" s="8"/>
      <c r="C1518" s="8"/>
      <c r="D1518" s="8"/>
      <c r="E1518" s="8"/>
      <c r="F1518" s="8"/>
      <c r="G1518" s="8"/>
      <c r="H1518" s="8"/>
      <c r="I1518" s="9"/>
      <c r="J1518" s="9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7"/>
      <c r="B1519" s="8"/>
      <c r="C1519" s="8"/>
      <c r="D1519" s="8"/>
      <c r="E1519" s="8"/>
      <c r="F1519" s="8"/>
      <c r="G1519" s="8"/>
      <c r="H1519" s="8"/>
      <c r="I1519" s="9"/>
      <c r="J1519" s="9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7"/>
      <c r="B1520" s="8"/>
      <c r="C1520" s="8"/>
      <c r="D1520" s="8"/>
      <c r="E1520" s="8"/>
      <c r="F1520" s="8"/>
      <c r="G1520" s="8"/>
      <c r="H1520" s="8"/>
      <c r="I1520" s="9"/>
      <c r="J1520" s="9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7"/>
      <c r="B1521" s="8"/>
      <c r="C1521" s="8"/>
      <c r="D1521" s="8"/>
      <c r="E1521" s="8"/>
      <c r="F1521" s="8"/>
      <c r="G1521" s="8"/>
      <c r="H1521" s="8"/>
      <c r="I1521" s="9"/>
      <c r="J1521" s="9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7"/>
      <c r="B1522" s="8"/>
      <c r="C1522" s="8"/>
      <c r="D1522" s="8"/>
      <c r="E1522" s="8"/>
      <c r="F1522" s="8"/>
      <c r="G1522" s="8"/>
      <c r="H1522" s="8"/>
      <c r="I1522" s="9"/>
      <c r="J1522" s="9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7"/>
      <c r="B1523" s="8"/>
      <c r="C1523" s="8"/>
      <c r="D1523" s="8"/>
      <c r="E1523" s="8"/>
      <c r="F1523" s="8"/>
      <c r="G1523" s="8"/>
      <c r="H1523" s="8"/>
      <c r="I1523" s="9"/>
      <c r="J1523" s="9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7"/>
      <c r="B1524" s="8"/>
      <c r="C1524" s="8"/>
      <c r="D1524" s="8"/>
      <c r="E1524" s="8"/>
      <c r="F1524" s="8"/>
      <c r="G1524" s="8"/>
      <c r="H1524" s="8"/>
      <c r="I1524" s="9"/>
      <c r="J1524" s="9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7"/>
      <c r="B1525" s="8"/>
      <c r="C1525" s="8"/>
      <c r="D1525" s="8"/>
      <c r="E1525" s="8"/>
      <c r="F1525" s="8"/>
      <c r="G1525" s="8"/>
      <c r="H1525" s="8"/>
      <c r="I1525" s="9"/>
      <c r="J1525" s="9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7"/>
      <c r="B1526" s="8"/>
      <c r="C1526" s="8"/>
      <c r="D1526" s="8"/>
      <c r="E1526" s="8"/>
      <c r="F1526" s="8"/>
      <c r="G1526" s="8"/>
      <c r="H1526" s="8"/>
      <c r="I1526" s="9"/>
      <c r="J1526" s="9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7"/>
      <c r="B1527" s="8"/>
      <c r="C1527" s="8"/>
      <c r="D1527" s="8"/>
      <c r="E1527" s="8"/>
      <c r="F1527" s="8"/>
      <c r="G1527" s="8"/>
      <c r="H1527" s="8"/>
      <c r="I1527" s="9"/>
      <c r="J1527" s="9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7"/>
      <c r="B1528" s="8"/>
      <c r="C1528" s="8"/>
      <c r="D1528" s="8"/>
      <c r="E1528" s="8"/>
      <c r="F1528" s="8"/>
      <c r="G1528" s="8"/>
      <c r="H1528" s="8"/>
      <c r="I1528" s="9"/>
      <c r="J1528" s="9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7"/>
      <c r="B1529" s="8"/>
      <c r="C1529" s="8"/>
      <c r="D1529" s="8"/>
      <c r="E1529" s="8"/>
      <c r="F1529" s="8"/>
      <c r="G1529" s="8"/>
      <c r="H1529" s="8"/>
      <c r="I1529" s="9"/>
      <c r="J1529" s="9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7"/>
      <c r="B1530" s="8"/>
      <c r="C1530" s="8"/>
      <c r="D1530" s="8"/>
      <c r="E1530" s="8"/>
      <c r="F1530" s="8"/>
      <c r="G1530" s="8"/>
      <c r="H1530" s="8"/>
      <c r="I1530" s="9"/>
      <c r="J1530" s="9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7"/>
      <c r="B1531" s="8"/>
      <c r="C1531" s="8"/>
      <c r="D1531" s="8"/>
      <c r="E1531" s="8"/>
      <c r="F1531" s="8"/>
      <c r="G1531" s="8"/>
      <c r="H1531" s="8"/>
      <c r="I1531" s="9"/>
      <c r="J1531" s="9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7"/>
      <c r="B1532" s="8"/>
      <c r="C1532" s="8"/>
      <c r="D1532" s="8"/>
      <c r="E1532" s="8"/>
      <c r="F1532" s="8"/>
      <c r="G1532" s="8"/>
      <c r="H1532" s="8"/>
      <c r="I1532" s="9"/>
      <c r="J1532" s="9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7"/>
      <c r="B1533" s="8"/>
      <c r="C1533" s="8"/>
      <c r="D1533" s="8"/>
      <c r="E1533" s="8"/>
      <c r="F1533" s="8"/>
      <c r="G1533" s="8"/>
      <c r="H1533" s="8"/>
      <c r="I1533" s="9"/>
      <c r="J1533" s="9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7"/>
      <c r="B1534" s="8"/>
      <c r="C1534" s="8"/>
      <c r="D1534" s="8"/>
      <c r="E1534" s="8"/>
      <c r="F1534" s="8"/>
      <c r="G1534" s="8"/>
      <c r="H1534" s="8"/>
      <c r="I1534" s="9"/>
      <c r="J1534" s="9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7"/>
      <c r="B1535" s="8"/>
      <c r="C1535" s="8"/>
      <c r="D1535" s="8"/>
      <c r="E1535" s="8"/>
      <c r="F1535" s="8"/>
      <c r="G1535" s="8"/>
      <c r="H1535" s="8"/>
      <c r="I1535" s="9"/>
      <c r="J1535" s="9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7"/>
      <c r="B1536" s="8"/>
      <c r="C1536" s="8"/>
      <c r="D1536" s="8"/>
      <c r="E1536" s="8"/>
      <c r="F1536" s="8"/>
      <c r="G1536" s="8"/>
      <c r="H1536" s="8"/>
      <c r="I1536" s="9"/>
      <c r="J1536" s="9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7"/>
      <c r="B1537" s="8"/>
      <c r="C1537" s="8"/>
      <c r="D1537" s="8"/>
      <c r="E1537" s="8"/>
      <c r="F1537" s="8"/>
      <c r="G1537" s="8"/>
      <c r="H1537" s="8"/>
      <c r="I1537" s="9"/>
      <c r="J1537" s="9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7"/>
      <c r="B1538" s="8"/>
      <c r="C1538" s="8"/>
      <c r="D1538" s="8"/>
      <c r="E1538" s="8"/>
      <c r="F1538" s="8"/>
      <c r="G1538" s="8"/>
      <c r="H1538" s="8"/>
      <c r="I1538" s="9"/>
      <c r="J1538" s="9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7"/>
      <c r="B1539" s="8"/>
      <c r="C1539" s="8"/>
      <c r="D1539" s="8"/>
      <c r="E1539" s="8"/>
      <c r="F1539" s="8"/>
      <c r="G1539" s="8"/>
      <c r="H1539" s="8"/>
      <c r="I1539" s="9"/>
      <c r="J1539" s="9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7"/>
      <c r="B1540" s="8"/>
      <c r="C1540" s="8"/>
      <c r="D1540" s="8"/>
      <c r="E1540" s="8"/>
      <c r="F1540" s="8"/>
      <c r="G1540" s="8"/>
      <c r="H1540" s="8"/>
      <c r="I1540" s="9"/>
      <c r="J1540" s="9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7"/>
      <c r="B1541" s="8"/>
      <c r="C1541" s="8"/>
      <c r="D1541" s="8"/>
      <c r="E1541" s="8"/>
      <c r="F1541" s="8"/>
      <c r="G1541" s="8"/>
      <c r="H1541" s="8"/>
      <c r="I1541" s="9"/>
      <c r="J1541" s="9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7"/>
      <c r="B1542" s="8"/>
      <c r="C1542" s="8"/>
      <c r="D1542" s="8"/>
      <c r="E1542" s="8"/>
      <c r="F1542" s="8"/>
      <c r="G1542" s="8"/>
      <c r="H1542" s="8"/>
      <c r="I1542" s="9"/>
      <c r="J1542" s="9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7"/>
      <c r="B1543" s="8"/>
      <c r="C1543" s="8"/>
      <c r="D1543" s="8"/>
      <c r="E1543" s="8"/>
      <c r="F1543" s="8"/>
      <c r="G1543" s="8"/>
      <c r="H1543" s="8"/>
      <c r="I1543" s="9"/>
      <c r="J1543" s="9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7"/>
      <c r="B1544" s="8"/>
      <c r="C1544" s="8"/>
      <c r="D1544" s="8"/>
      <c r="E1544" s="8"/>
      <c r="F1544" s="8"/>
      <c r="G1544" s="8"/>
      <c r="H1544" s="8"/>
      <c r="I1544" s="9"/>
      <c r="J1544" s="9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7"/>
      <c r="B1545" s="8"/>
      <c r="C1545" s="8"/>
      <c r="D1545" s="8"/>
      <c r="E1545" s="8"/>
      <c r="F1545" s="8"/>
      <c r="G1545" s="8"/>
      <c r="H1545" s="8"/>
      <c r="I1545" s="9"/>
      <c r="J1545" s="9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7"/>
      <c r="B1546" s="8"/>
      <c r="C1546" s="8"/>
      <c r="D1546" s="8"/>
      <c r="E1546" s="8"/>
      <c r="F1546" s="8"/>
      <c r="G1546" s="8"/>
      <c r="H1546" s="8"/>
      <c r="I1546" s="9"/>
      <c r="J1546" s="9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7"/>
      <c r="B1547" s="8"/>
      <c r="C1547" s="8"/>
      <c r="D1547" s="8"/>
      <c r="E1547" s="8"/>
      <c r="F1547" s="8"/>
      <c r="G1547" s="8"/>
      <c r="H1547" s="8"/>
      <c r="I1547" s="9"/>
      <c r="J1547" s="9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7"/>
      <c r="B1548" s="8"/>
      <c r="C1548" s="8"/>
      <c r="D1548" s="8"/>
      <c r="E1548" s="8"/>
      <c r="F1548" s="8"/>
      <c r="G1548" s="8"/>
      <c r="H1548" s="8"/>
      <c r="I1548" s="9"/>
      <c r="J1548" s="9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7"/>
      <c r="B1549" s="8"/>
      <c r="C1549" s="8"/>
      <c r="D1549" s="8"/>
      <c r="E1549" s="8"/>
      <c r="F1549" s="8"/>
      <c r="G1549" s="8"/>
      <c r="H1549" s="8"/>
      <c r="I1549" s="9"/>
      <c r="J1549" s="9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7"/>
      <c r="B1550" s="8"/>
      <c r="C1550" s="8"/>
      <c r="D1550" s="8"/>
      <c r="E1550" s="8"/>
      <c r="F1550" s="8"/>
      <c r="G1550" s="8"/>
      <c r="H1550" s="8"/>
      <c r="I1550" s="9"/>
      <c r="J1550" s="9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7"/>
      <c r="B1551" s="8"/>
      <c r="C1551" s="8"/>
      <c r="D1551" s="8"/>
      <c r="E1551" s="8"/>
      <c r="F1551" s="8"/>
      <c r="G1551" s="8"/>
      <c r="H1551" s="8"/>
      <c r="I1551" s="9"/>
      <c r="J1551" s="9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7"/>
      <c r="B1552" s="8"/>
      <c r="C1552" s="8"/>
      <c r="D1552" s="8"/>
      <c r="E1552" s="8"/>
      <c r="F1552" s="8"/>
      <c r="G1552" s="8"/>
      <c r="H1552" s="8"/>
      <c r="I1552" s="9"/>
      <c r="J1552" s="9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7"/>
      <c r="B1553" s="8"/>
      <c r="C1553" s="8"/>
      <c r="D1553" s="8"/>
      <c r="E1553" s="8"/>
      <c r="F1553" s="8"/>
      <c r="G1553" s="8"/>
      <c r="H1553" s="8"/>
      <c r="I1553" s="9"/>
      <c r="J1553" s="9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7"/>
      <c r="B1554" s="8"/>
      <c r="C1554" s="8"/>
      <c r="D1554" s="8"/>
      <c r="E1554" s="8"/>
      <c r="F1554" s="8"/>
      <c r="G1554" s="8"/>
      <c r="H1554" s="8"/>
      <c r="I1554" s="9"/>
      <c r="J1554" s="9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7"/>
      <c r="B1555" s="8"/>
      <c r="C1555" s="8"/>
      <c r="D1555" s="8"/>
      <c r="E1555" s="8"/>
      <c r="F1555" s="8"/>
      <c r="G1555" s="8"/>
      <c r="H1555" s="8"/>
      <c r="I1555" s="9"/>
      <c r="J1555" s="9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7"/>
      <c r="B1556" s="8"/>
      <c r="C1556" s="8"/>
      <c r="D1556" s="8"/>
      <c r="E1556" s="8"/>
      <c r="F1556" s="8"/>
      <c r="G1556" s="8"/>
      <c r="H1556" s="8"/>
      <c r="I1556" s="9"/>
      <c r="J1556" s="9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7"/>
      <c r="B1557" s="8"/>
      <c r="C1557" s="8"/>
      <c r="D1557" s="8"/>
      <c r="E1557" s="8"/>
      <c r="F1557" s="8"/>
      <c r="G1557" s="8"/>
      <c r="H1557" s="8"/>
      <c r="I1557" s="9"/>
      <c r="J1557" s="9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7"/>
      <c r="B1558" s="8"/>
      <c r="C1558" s="8"/>
      <c r="D1558" s="8"/>
      <c r="E1558" s="8"/>
      <c r="F1558" s="8"/>
      <c r="G1558" s="8"/>
      <c r="H1558" s="8"/>
      <c r="I1558" s="9"/>
      <c r="J1558" s="9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7"/>
      <c r="B1559" s="8"/>
      <c r="C1559" s="8"/>
      <c r="D1559" s="8"/>
      <c r="E1559" s="8"/>
      <c r="F1559" s="8"/>
      <c r="G1559" s="8"/>
      <c r="H1559" s="8"/>
      <c r="I1559" s="9"/>
      <c r="J1559" s="9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7"/>
      <c r="B1560" s="8"/>
      <c r="C1560" s="8"/>
      <c r="D1560" s="8"/>
      <c r="E1560" s="8"/>
      <c r="F1560" s="8"/>
      <c r="G1560" s="8"/>
      <c r="H1560" s="8"/>
      <c r="I1560" s="9"/>
      <c r="J1560" s="9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7"/>
      <c r="B1561" s="8"/>
      <c r="C1561" s="8"/>
      <c r="D1561" s="8"/>
      <c r="E1561" s="8"/>
      <c r="F1561" s="8"/>
      <c r="G1561" s="8"/>
      <c r="H1561" s="8"/>
      <c r="I1561" s="9"/>
      <c r="J1561" s="9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7"/>
      <c r="B1562" s="8"/>
      <c r="C1562" s="8"/>
      <c r="D1562" s="8"/>
      <c r="E1562" s="8"/>
      <c r="F1562" s="8"/>
      <c r="G1562" s="8"/>
      <c r="H1562" s="8"/>
      <c r="I1562" s="9"/>
      <c r="J1562" s="9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7"/>
      <c r="B1563" s="8"/>
      <c r="C1563" s="8"/>
      <c r="D1563" s="8"/>
      <c r="E1563" s="8"/>
      <c r="F1563" s="8"/>
      <c r="G1563" s="8"/>
      <c r="H1563" s="8"/>
      <c r="I1563" s="9"/>
      <c r="J1563" s="9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7"/>
      <c r="B1564" s="8"/>
      <c r="C1564" s="8"/>
      <c r="D1564" s="8"/>
      <c r="E1564" s="8"/>
      <c r="F1564" s="8"/>
      <c r="G1564" s="8"/>
      <c r="H1564" s="8"/>
      <c r="I1564" s="9"/>
      <c r="J1564" s="9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7"/>
      <c r="B1565" s="8"/>
      <c r="C1565" s="8"/>
      <c r="D1565" s="8"/>
      <c r="E1565" s="8"/>
      <c r="F1565" s="8"/>
      <c r="G1565" s="8"/>
      <c r="H1565" s="8"/>
      <c r="I1565" s="9"/>
      <c r="J1565" s="9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7"/>
      <c r="B1566" s="8"/>
      <c r="C1566" s="8"/>
      <c r="D1566" s="8"/>
      <c r="E1566" s="8"/>
      <c r="F1566" s="8"/>
      <c r="G1566" s="8"/>
      <c r="H1566" s="8"/>
      <c r="I1566" s="9"/>
      <c r="J1566" s="9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7"/>
      <c r="B1567" s="8"/>
      <c r="C1567" s="8"/>
      <c r="D1567" s="8"/>
      <c r="E1567" s="8"/>
      <c r="F1567" s="8"/>
      <c r="G1567" s="8"/>
      <c r="H1567" s="8"/>
      <c r="I1567" s="9"/>
      <c r="J1567" s="9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7"/>
      <c r="B1568" s="8"/>
      <c r="C1568" s="8"/>
      <c r="D1568" s="8"/>
      <c r="E1568" s="8"/>
      <c r="F1568" s="8"/>
      <c r="G1568" s="8"/>
      <c r="H1568" s="8"/>
      <c r="I1568" s="9"/>
      <c r="J1568" s="9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7"/>
      <c r="B1569" s="8"/>
      <c r="C1569" s="8"/>
      <c r="D1569" s="8"/>
      <c r="E1569" s="8"/>
      <c r="F1569" s="8"/>
      <c r="G1569" s="8"/>
      <c r="H1569" s="8"/>
      <c r="I1569" s="9"/>
      <c r="J1569" s="9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7"/>
      <c r="B1570" s="8"/>
      <c r="C1570" s="8"/>
      <c r="D1570" s="8"/>
      <c r="E1570" s="8"/>
      <c r="F1570" s="8"/>
      <c r="G1570" s="8"/>
      <c r="H1570" s="8"/>
      <c r="I1570" s="9"/>
      <c r="J1570" s="9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7"/>
      <c r="B1571" s="8"/>
      <c r="C1571" s="8"/>
      <c r="D1571" s="8"/>
      <c r="E1571" s="8"/>
      <c r="F1571" s="8"/>
      <c r="G1571" s="8"/>
      <c r="H1571" s="8"/>
      <c r="I1571" s="9"/>
      <c r="J1571" s="9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7"/>
      <c r="B1572" s="8"/>
      <c r="C1572" s="8"/>
      <c r="D1572" s="8"/>
      <c r="E1572" s="8"/>
      <c r="F1572" s="8"/>
      <c r="G1572" s="8"/>
      <c r="H1572" s="8"/>
      <c r="I1572" s="9"/>
      <c r="J1572" s="9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7"/>
      <c r="B1573" s="8"/>
      <c r="C1573" s="8"/>
      <c r="D1573" s="8"/>
      <c r="E1573" s="8"/>
      <c r="F1573" s="8"/>
      <c r="G1573" s="8"/>
      <c r="H1573" s="8"/>
      <c r="I1573" s="9"/>
      <c r="J1573" s="9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7"/>
      <c r="B1574" s="8"/>
      <c r="C1574" s="8"/>
      <c r="D1574" s="8"/>
      <c r="E1574" s="8"/>
      <c r="F1574" s="8"/>
      <c r="G1574" s="8"/>
      <c r="H1574" s="8"/>
      <c r="I1574" s="9"/>
      <c r="J1574" s="9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7"/>
      <c r="B1575" s="8"/>
      <c r="C1575" s="8"/>
      <c r="D1575" s="8"/>
      <c r="E1575" s="8"/>
      <c r="F1575" s="8"/>
      <c r="G1575" s="8"/>
      <c r="H1575" s="8"/>
      <c r="I1575" s="9"/>
      <c r="J1575" s="9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7"/>
      <c r="B1576" s="8"/>
      <c r="C1576" s="8"/>
      <c r="D1576" s="8"/>
      <c r="E1576" s="8"/>
      <c r="F1576" s="8"/>
      <c r="G1576" s="8"/>
      <c r="H1576" s="8"/>
      <c r="I1576" s="9"/>
      <c r="J1576" s="9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7"/>
      <c r="B1577" s="8"/>
      <c r="C1577" s="8"/>
      <c r="D1577" s="8"/>
      <c r="E1577" s="8"/>
      <c r="F1577" s="8"/>
      <c r="G1577" s="8"/>
      <c r="H1577" s="8"/>
      <c r="I1577" s="9"/>
      <c r="J1577" s="9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7"/>
      <c r="B1578" s="8"/>
      <c r="C1578" s="8"/>
      <c r="D1578" s="8"/>
      <c r="E1578" s="8"/>
      <c r="F1578" s="8"/>
      <c r="G1578" s="8"/>
      <c r="H1578" s="8"/>
      <c r="I1578" s="9"/>
      <c r="J1578" s="9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7"/>
      <c r="B1579" s="8"/>
      <c r="C1579" s="8"/>
      <c r="D1579" s="8"/>
      <c r="E1579" s="8"/>
      <c r="F1579" s="8"/>
      <c r="G1579" s="8"/>
      <c r="H1579" s="8"/>
      <c r="I1579" s="9"/>
      <c r="J1579" s="9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7"/>
      <c r="B1580" s="8"/>
      <c r="C1580" s="8"/>
      <c r="D1580" s="8"/>
      <c r="E1580" s="8"/>
      <c r="F1580" s="8"/>
      <c r="G1580" s="8"/>
      <c r="H1580" s="8"/>
      <c r="I1580" s="9"/>
      <c r="J1580" s="9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7"/>
      <c r="B1581" s="8"/>
      <c r="C1581" s="8"/>
      <c r="D1581" s="8"/>
      <c r="E1581" s="8"/>
      <c r="F1581" s="8"/>
      <c r="G1581" s="8"/>
      <c r="H1581" s="8"/>
      <c r="I1581" s="9"/>
      <c r="J1581" s="9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7"/>
      <c r="B1582" s="8"/>
      <c r="C1582" s="8"/>
      <c r="D1582" s="8"/>
      <c r="E1582" s="8"/>
      <c r="F1582" s="8"/>
      <c r="G1582" s="8"/>
      <c r="H1582" s="8"/>
      <c r="I1582" s="9"/>
      <c r="J1582" s="9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7"/>
      <c r="B1583" s="8"/>
      <c r="C1583" s="8"/>
      <c r="D1583" s="8"/>
      <c r="E1583" s="8"/>
      <c r="F1583" s="8"/>
      <c r="G1583" s="8"/>
      <c r="H1583" s="8"/>
      <c r="I1583" s="9"/>
      <c r="J1583" s="9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7"/>
      <c r="B1584" s="8"/>
      <c r="C1584" s="8"/>
      <c r="D1584" s="8"/>
      <c r="E1584" s="8"/>
      <c r="F1584" s="8"/>
      <c r="G1584" s="8"/>
      <c r="H1584" s="8"/>
      <c r="I1584" s="9"/>
      <c r="J1584" s="9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7"/>
      <c r="B1585" s="8"/>
      <c r="C1585" s="8"/>
      <c r="D1585" s="8"/>
      <c r="E1585" s="8"/>
      <c r="F1585" s="8"/>
      <c r="G1585" s="8"/>
      <c r="H1585" s="8"/>
      <c r="I1585" s="9"/>
      <c r="J1585" s="9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7"/>
      <c r="B1586" s="8"/>
      <c r="C1586" s="8"/>
      <c r="D1586" s="8"/>
      <c r="E1586" s="8"/>
      <c r="F1586" s="8"/>
      <c r="G1586" s="8"/>
      <c r="H1586" s="8"/>
      <c r="I1586" s="9"/>
      <c r="J1586" s="9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7"/>
      <c r="B1587" s="8"/>
      <c r="C1587" s="8"/>
      <c r="D1587" s="8"/>
      <c r="E1587" s="8"/>
      <c r="F1587" s="8"/>
      <c r="G1587" s="8"/>
      <c r="H1587" s="8"/>
      <c r="I1587" s="9"/>
      <c r="J1587" s="9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7"/>
      <c r="B1588" s="8"/>
      <c r="C1588" s="8"/>
      <c r="D1588" s="8"/>
      <c r="E1588" s="8"/>
      <c r="F1588" s="8"/>
      <c r="G1588" s="8"/>
      <c r="H1588" s="8"/>
      <c r="I1588" s="9"/>
      <c r="J1588" s="9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7"/>
      <c r="B1589" s="8"/>
      <c r="C1589" s="8"/>
      <c r="D1589" s="8"/>
      <c r="E1589" s="8"/>
      <c r="F1589" s="8"/>
      <c r="G1589" s="8"/>
      <c r="H1589" s="8"/>
      <c r="I1589" s="9"/>
      <c r="J1589" s="9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7"/>
      <c r="B1590" s="8"/>
      <c r="C1590" s="8"/>
      <c r="D1590" s="8"/>
      <c r="E1590" s="8"/>
      <c r="F1590" s="8"/>
      <c r="G1590" s="8"/>
      <c r="H1590" s="8"/>
      <c r="I1590" s="9"/>
      <c r="J1590" s="9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7"/>
      <c r="B1591" s="8"/>
      <c r="C1591" s="8"/>
      <c r="D1591" s="8"/>
      <c r="E1591" s="8"/>
      <c r="F1591" s="8"/>
      <c r="G1591" s="8"/>
      <c r="H1591" s="8"/>
      <c r="I1591" s="9"/>
      <c r="J1591" s="9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7"/>
      <c r="B1592" s="8"/>
      <c r="C1592" s="8"/>
      <c r="D1592" s="8"/>
      <c r="E1592" s="8"/>
      <c r="F1592" s="8"/>
      <c r="G1592" s="8"/>
      <c r="H1592" s="8"/>
      <c r="I1592" s="9"/>
      <c r="J1592" s="9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7"/>
      <c r="B1593" s="8"/>
      <c r="C1593" s="8"/>
      <c r="D1593" s="8"/>
      <c r="E1593" s="8"/>
      <c r="F1593" s="8"/>
      <c r="G1593" s="8"/>
      <c r="H1593" s="8"/>
      <c r="I1593" s="9"/>
      <c r="J1593" s="9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7"/>
      <c r="B1594" s="8"/>
      <c r="C1594" s="8"/>
      <c r="D1594" s="8"/>
      <c r="E1594" s="8"/>
      <c r="F1594" s="8"/>
      <c r="G1594" s="8"/>
      <c r="H1594" s="8"/>
      <c r="I1594" s="9"/>
      <c r="J1594" s="9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7"/>
      <c r="B1595" s="8"/>
      <c r="C1595" s="8"/>
      <c r="D1595" s="8"/>
      <c r="E1595" s="8"/>
      <c r="F1595" s="8"/>
      <c r="G1595" s="8"/>
      <c r="H1595" s="8"/>
      <c r="I1595" s="9"/>
      <c r="J1595" s="9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7"/>
      <c r="B1596" s="8"/>
      <c r="C1596" s="8"/>
      <c r="D1596" s="8"/>
      <c r="E1596" s="8"/>
      <c r="F1596" s="8"/>
      <c r="G1596" s="8"/>
      <c r="H1596" s="8"/>
      <c r="I1596" s="9"/>
      <c r="J1596" s="9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7"/>
      <c r="B1597" s="8"/>
      <c r="C1597" s="8"/>
      <c r="D1597" s="8"/>
      <c r="E1597" s="8"/>
      <c r="F1597" s="8"/>
      <c r="G1597" s="8"/>
      <c r="H1597" s="8"/>
      <c r="I1597" s="9"/>
      <c r="J1597" s="9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7"/>
      <c r="B1598" s="8"/>
      <c r="C1598" s="8"/>
      <c r="D1598" s="8"/>
      <c r="E1598" s="8"/>
      <c r="F1598" s="8"/>
      <c r="G1598" s="8"/>
      <c r="H1598" s="8"/>
      <c r="I1598" s="9"/>
      <c r="J1598" s="9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7"/>
      <c r="B1599" s="8"/>
      <c r="C1599" s="8"/>
      <c r="D1599" s="8"/>
      <c r="E1599" s="8"/>
      <c r="F1599" s="8"/>
      <c r="G1599" s="8"/>
      <c r="H1599" s="8"/>
      <c r="I1599" s="9"/>
      <c r="J1599" s="9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7"/>
      <c r="B1600" s="8"/>
      <c r="C1600" s="8"/>
      <c r="D1600" s="8"/>
      <c r="E1600" s="8"/>
      <c r="F1600" s="8"/>
      <c r="G1600" s="8"/>
      <c r="H1600" s="8"/>
      <c r="I1600" s="9"/>
      <c r="J1600" s="9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7"/>
      <c r="B1601" s="8"/>
      <c r="C1601" s="8"/>
      <c r="D1601" s="8"/>
      <c r="E1601" s="8"/>
      <c r="F1601" s="8"/>
      <c r="G1601" s="8"/>
      <c r="H1601" s="8"/>
      <c r="I1601" s="9"/>
      <c r="J1601" s="9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7"/>
      <c r="B1602" s="8"/>
      <c r="C1602" s="8"/>
      <c r="D1602" s="8"/>
      <c r="E1602" s="8"/>
      <c r="F1602" s="8"/>
      <c r="G1602" s="8"/>
      <c r="H1602" s="8"/>
      <c r="I1602" s="9"/>
      <c r="J1602" s="9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7"/>
      <c r="B1603" s="8"/>
      <c r="C1603" s="8"/>
      <c r="D1603" s="8"/>
      <c r="E1603" s="8"/>
      <c r="F1603" s="8"/>
      <c r="G1603" s="8"/>
      <c r="H1603" s="8"/>
      <c r="I1603" s="9"/>
      <c r="J1603" s="9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7"/>
      <c r="B1604" s="8"/>
      <c r="C1604" s="8"/>
      <c r="D1604" s="8"/>
      <c r="E1604" s="8"/>
      <c r="F1604" s="8"/>
      <c r="G1604" s="8"/>
      <c r="H1604" s="8"/>
      <c r="I1604" s="9"/>
      <c r="J1604" s="9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7"/>
      <c r="B1605" s="8"/>
      <c r="C1605" s="8"/>
      <c r="D1605" s="8"/>
      <c r="E1605" s="8"/>
      <c r="F1605" s="8"/>
      <c r="G1605" s="8"/>
      <c r="H1605" s="8"/>
      <c r="I1605" s="9"/>
      <c r="J1605" s="9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7"/>
      <c r="B1606" s="8"/>
      <c r="C1606" s="8"/>
      <c r="D1606" s="8"/>
      <c r="E1606" s="8"/>
      <c r="F1606" s="8"/>
      <c r="G1606" s="8"/>
      <c r="H1606" s="8"/>
      <c r="I1606" s="9"/>
      <c r="J1606" s="9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7"/>
      <c r="B1607" s="8"/>
      <c r="C1607" s="8"/>
      <c r="D1607" s="8"/>
      <c r="E1607" s="8"/>
      <c r="F1607" s="8"/>
      <c r="G1607" s="8"/>
      <c r="H1607" s="8"/>
      <c r="I1607" s="9"/>
      <c r="J1607" s="9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7"/>
      <c r="B1608" s="8"/>
      <c r="C1608" s="8"/>
      <c r="D1608" s="8"/>
      <c r="E1608" s="8"/>
      <c r="F1608" s="8"/>
      <c r="G1608" s="8"/>
      <c r="H1608" s="8"/>
      <c r="I1608" s="9"/>
      <c r="J1608" s="9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7"/>
      <c r="B1609" s="8"/>
      <c r="C1609" s="8"/>
      <c r="D1609" s="8"/>
      <c r="E1609" s="8"/>
      <c r="F1609" s="8"/>
      <c r="G1609" s="8"/>
      <c r="H1609" s="8"/>
      <c r="I1609" s="9"/>
      <c r="J1609" s="9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7"/>
      <c r="B1610" s="8"/>
      <c r="C1610" s="8"/>
      <c r="D1610" s="8"/>
      <c r="E1610" s="8"/>
      <c r="F1610" s="8"/>
      <c r="G1610" s="8"/>
      <c r="H1610" s="8"/>
      <c r="I1610" s="9"/>
      <c r="J1610" s="9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7"/>
      <c r="B1611" s="8"/>
      <c r="C1611" s="8"/>
      <c r="D1611" s="8"/>
      <c r="E1611" s="8"/>
      <c r="F1611" s="8"/>
      <c r="G1611" s="8"/>
      <c r="H1611" s="8"/>
      <c r="I1611" s="9"/>
      <c r="J1611" s="9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7"/>
      <c r="B1612" s="8"/>
      <c r="C1612" s="8"/>
      <c r="D1612" s="8"/>
      <c r="E1612" s="8"/>
      <c r="F1612" s="8"/>
      <c r="G1612" s="8"/>
      <c r="H1612" s="8"/>
      <c r="I1612" s="9"/>
      <c r="J1612" s="9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7"/>
      <c r="B1613" s="8"/>
      <c r="C1613" s="8"/>
      <c r="D1613" s="8"/>
      <c r="E1613" s="8"/>
      <c r="F1613" s="8"/>
      <c r="G1613" s="8"/>
      <c r="H1613" s="8"/>
      <c r="I1613" s="9"/>
      <c r="J1613" s="9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7"/>
      <c r="B1614" s="8"/>
      <c r="C1614" s="8"/>
      <c r="D1614" s="8"/>
      <c r="E1614" s="8"/>
      <c r="F1614" s="8"/>
      <c r="G1614" s="8"/>
      <c r="H1614" s="8"/>
      <c r="I1614" s="9"/>
      <c r="J1614" s="9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7"/>
      <c r="B1615" s="8"/>
      <c r="C1615" s="8"/>
      <c r="D1615" s="8"/>
      <c r="E1615" s="8"/>
      <c r="F1615" s="8"/>
      <c r="G1615" s="8"/>
      <c r="H1615" s="8"/>
      <c r="I1615" s="9"/>
      <c r="J1615" s="9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7"/>
      <c r="B1616" s="8"/>
      <c r="C1616" s="8"/>
      <c r="D1616" s="8"/>
      <c r="E1616" s="8"/>
      <c r="F1616" s="8"/>
      <c r="G1616" s="8"/>
      <c r="H1616" s="8"/>
      <c r="I1616" s="9"/>
      <c r="J1616" s="9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7"/>
      <c r="B1617" s="8"/>
      <c r="C1617" s="8"/>
      <c r="D1617" s="8"/>
      <c r="E1617" s="8"/>
      <c r="F1617" s="8"/>
      <c r="G1617" s="8"/>
      <c r="H1617" s="8"/>
      <c r="I1617" s="9"/>
      <c r="J1617" s="9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7"/>
      <c r="B1618" s="8"/>
      <c r="C1618" s="8"/>
      <c r="D1618" s="8"/>
      <c r="E1618" s="8"/>
      <c r="F1618" s="8"/>
      <c r="G1618" s="8"/>
      <c r="H1618" s="8"/>
      <c r="I1618" s="9"/>
      <c r="J1618" s="9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7"/>
      <c r="B1619" s="8"/>
      <c r="C1619" s="8"/>
      <c r="D1619" s="8"/>
      <c r="E1619" s="8"/>
      <c r="F1619" s="8"/>
      <c r="G1619" s="8"/>
      <c r="H1619" s="8"/>
      <c r="I1619" s="9"/>
      <c r="J1619" s="9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7"/>
      <c r="B1620" s="8"/>
      <c r="C1620" s="8"/>
      <c r="D1620" s="8"/>
      <c r="E1620" s="8"/>
      <c r="F1620" s="8"/>
      <c r="G1620" s="8"/>
      <c r="H1620" s="8"/>
      <c r="I1620" s="9"/>
      <c r="J1620" s="9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7"/>
      <c r="B1621" s="8"/>
      <c r="C1621" s="8"/>
      <c r="D1621" s="8"/>
      <c r="E1621" s="8"/>
      <c r="F1621" s="8"/>
      <c r="G1621" s="8"/>
      <c r="H1621" s="8"/>
      <c r="I1621" s="9"/>
      <c r="J1621" s="9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7"/>
      <c r="B1622" s="8"/>
      <c r="C1622" s="8"/>
      <c r="D1622" s="8"/>
      <c r="E1622" s="8"/>
      <c r="F1622" s="8"/>
      <c r="G1622" s="8"/>
      <c r="H1622" s="8"/>
      <c r="I1622" s="9"/>
      <c r="J1622" s="9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7"/>
      <c r="B1623" s="8"/>
      <c r="C1623" s="8"/>
      <c r="D1623" s="8"/>
      <c r="E1623" s="8"/>
      <c r="F1623" s="8"/>
      <c r="G1623" s="8"/>
      <c r="H1623" s="8"/>
      <c r="I1623" s="9"/>
      <c r="J1623" s="9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7"/>
      <c r="B1624" s="8"/>
      <c r="C1624" s="8"/>
      <c r="D1624" s="8"/>
      <c r="E1624" s="8"/>
      <c r="F1624" s="8"/>
      <c r="G1624" s="8"/>
      <c r="H1624" s="8"/>
      <c r="I1624" s="9"/>
      <c r="J1624" s="9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7"/>
      <c r="B1625" s="8"/>
      <c r="C1625" s="8"/>
      <c r="D1625" s="8"/>
      <c r="E1625" s="8"/>
      <c r="F1625" s="8"/>
      <c r="G1625" s="8"/>
      <c r="H1625" s="8"/>
      <c r="I1625" s="9"/>
      <c r="J1625" s="9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7"/>
      <c r="B1626" s="8"/>
      <c r="C1626" s="8"/>
      <c r="D1626" s="8"/>
      <c r="E1626" s="8"/>
      <c r="F1626" s="8"/>
      <c r="G1626" s="8"/>
      <c r="H1626" s="8"/>
      <c r="I1626" s="9"/>
      <c r="J1626" s="9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7"/>
      <c r="B1627" s="8"/>
      <c r="C1627" s="8"/>
      <c r="D1627" s="8"/>
      <c r="E1627" s="8"/>
      <c r="F1627" s="8"/>
      <c r="G1627" s="8"/>
      <c r="H1627" s="8"/>
      <c r="I1627" s="9"/>
      <c r="J1627" s="9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7"/>
      <c r="B1628" s="8"/>
      <c r="C1628" s="8"/>
      <c r="D1628" s="8"/>
      <c r="E1628" s="8"/>
      <c r="F1628" s="8"/>
      <c r="G1628" s="8"/>
      <c r="H1628" s="8"/>
      <c r="I1628" s="9"/>
      <c r="J1628" s="9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7"/>
      <c r="B1629" s="8"/>
      <c r="C1629" s="8"/>
      <c r="D1629" s="8"/>
      <c r="E1629" s="8"/>
      <c r="F1629" s="8"/>
      <c r="G1629" s="8"/>
      <c r="H1629" s="8"/>
      <c r="I1629" s="9"/>
      <c r="J1629" s="9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7"/>
      <c r="B1630" s="8"/>
      <c r="C1630" s="8"/>
      <c r="D1630" s="8"/>
      <c r="E1630" s="8"/>
      <c r="F1630" s="8"/>
      <c r="G1630" s="8"/>
      <c r="H1630" s="8"/>
      <c r="I1630" s="9"/>
      <c r="J1630" s="9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7"/>
      <c r="B1631" s="8"/>
      <c r="C1631" s="8"/>
      <c r="D1631" s="8"/>
      <c r="E1631" s="8"/>
      <c r="F1631" s="8"/>
      <c r="G1631" s="8"/>
      <c r="H1631" s="8"/>
      <c r="I1631" s="9"/>
      <c r="J1631" s="9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7"/>
      <c r="B1632" s="8"/>
      <c r="C1632" s="8"/>
      <c r="D1632" s="8"/>
      <c r="E1632" s="8"/>
      <c r="F1632" s="8"/>
      <c r="G1632" s="8"/>
      <c r="H1632" s="8"/>
      <c r="I1632" s="9"/>
      <c r="J1632" s="9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7"/>
      <c r="B1633" s="8"/>
      <c r="C1633" s="8"/>
      <c r="D1633" s="8"/>
      <c r="E1633" s="8"/>
      <c r="F1633" s="8"/>
      <c r="G1633" s="8"/>
      <c r="H1633" s="8"/>
      <c r="I1633" s="9"/>
      <c r="J1633" s="9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7"/>
      <c r="B1634" s="8"/>
      <c r="C1634" s="8"/>
      <c r="D1634" s="8"/>
      <c r="E1634" s="8"/>
      <c r="F1634" s="8"/>
      <c r="G1634" s="8"/>
      <c r="H1634" s="8"/>
      <c r="I1634" s="9"/>
      <c r="J1634" s="9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7"/>
      <c r="B1635" s="8"/>
      <c r="C1635" s="8"/>
      <c r="D1635" s="8"/>
      <c r="E1635" s="8"/>
      <c r="F1635" s="8"/>
      <c r="G1635" s="8"/>
      <c r="H1635" s="8"/>
      <c r="I1635" s="9"/>
      <c r="J1635" s="9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7"/>
      <c r="B1636" s="8"/>
      <c r="C1636" s="8"/>
      <c r="D1636" s="8"/>
      <c r="E1636" s="8"/>
      <c r="F1636" s="8"/>
      <c r="G1636" s="8"/>
      <c r="H1636" s="8"/>
      <c r="I1636" s="9"/>
      <c r="J1636" s="9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7"/>
      <c r="B1637" s="8"/>
      <c r="C1637" s="8"/>
      <c r="D1637" s="8"/>
      <c r="E1637" s="8"/>
      <c r="F1637" s="8"/>
      <c r="G1637" s="8"/>
      <c r="H1637" s="8"/>
      <c r="I1637" s="9"/>
      <c r="J1637" s="9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7"/>
      <c r="B1638" s="8"/>
      <c r="C1638" s="8"/>
      <c r="D1638" s="8"/>
      <c r="E1638" s="8"/>
      <c r="F1638" s="8"/>
      <c r="G1638" s="8"/>
      <c r="H1638" s="8"/>
      <c r="I1638" s="9"/>
      <c r="J1638" s="9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7"/>
      <c r="B1639" s="8"/>
      <c r="C1639" s="8"/>
      <c r="D1639" s="8"/>
      <c r="E1639" s="8"/>
      <c r="F1639" s="8"/>
      <c r="G1639" s="8"/>
      <c r="H1639" s="8"/>
      <c r="I1639" s="9"/>
      <c r="J1639" s="9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7"/>
      <c r="B1640" s="8"/>
      <c r="C1640" s="8"/>
      <c r="D1640" s="8"/>
      <c r="E1640" s="8"/>
      <c r="F1640" s="8"/>
      <c r="G1640" s="8"/>
      <c r="H1640" s="8"/>
      <c r="I1640" s="9"/>
      <c r="J1640" s="9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7"/>
      <c r="B1641" s="8"/>
      <c r="C1641" s="8"/>
      <c r="D1641" s="8"/>
      <c r="E1641" s="8"/>
      <c r="F1641" s="8"/>
      <c r="G1641" s="8"/>
      <c r="H1641" s="8"/>
      <c r="I1641" s="9"/>
      <c r="J1641" s="9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7"/>
      <c r="B1642" s="8"/>
      <c r="C1642" s="8"/>
      <c r="D1642" s="8"/>
      <c r="E1642" s="8"/>
      <c r="F1642" s="8"/>
      <c r="G1642" s="8"/>
      <c r="H1642" s="8"/>
      <c r="I1642" s="9"/>
      <c r="J1642" s="9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7"/>
      <c r="B1643" s="8"/>
      <c r="C1643" s="8"/>
      <c r="D1643" s="8"/>
      <c r="E1643" s="8"/>
      <c r="F1643" s="8"/>
      <c r="G1643" s="8"/>
      <c r="H1643" s="8"/>
      <c r="I1643" s="9"/>
      <c r="J1643" s="9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7"/>
      <c r="B1644" s="8"/>
      <c r="C1644" s="8"/>
      <c r="D1644" s="8"/>
      <c r="E1644" s="8"/>
      <c r="F1644" s="8"/>
      <c r="G1644" s="8"/>
      <c r="H1644" s="8"/>
      <c r="I1644" s="9"/>
      <c r="J1644" s="9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7"/>
      <c r="B1645" s="8"/>
      <c r="C1645" s="8"/>
      <c r="D1645" s="8"/>
      <c r="E1645" s="8"/>
      <c r="F1645" s="8"/>
      <c r="G1645" s="8"/>
      <c r="H1645" s="8"/>
      <c r="I1645" s="9"/>
      <c r="J1645" s="9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7"/>
      <c r="B1646" s="8"/>
      <c r="C1646" s="8"/>
      <c r="D1646" s="8"/>
      <c r="E1646" s="8"/>
      <c r="F1646" s="8"/>
      <c r="G1646" s="8"/>
      <c r="H1646" s="8"/>
      <c r="I1646" s="9"/>
      <c r="J1646" s="9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7"/>
      <c r="B1647" s="8"/>
      <c r="C1647" s="8"/>
      <c r="D1647" s="8"/>
      <c r="E1647" s="8"/>
      <c r="F1647" s="8"/>
      <c r="G1647" s="8"/>
      <c r="H1647" s="8"/>
      <c r="I1647" s="9"/>
      <c r="J1647" s="9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7"/>
      <c r="B1648" s="8"/>
      <c r="C1648" s="8"/>
      <c r="D1648" s="8"/>
      <c r="E1648" s="8"/>
      <c r="F1648" s="8"/>
      <c r="G1648" s="8"/>
      <c r="H1648" s="8"/>
      <c r="I1648" s="9"/>
      <c r="J1648" s="9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7"/>
      <c r="B1649" s="8"/>
      <c r="C1649" s="8"/>
      <c r="D1649" s="8"/>
      <c r="E1649" s="8"/>
      <c r="F1649" s="8"/>
      <c r="G1649" s="8"/>
      <c r="H1649" s="8"/>
      <c r="I1649" s="9"/>
      <c r="J1649" s="9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7"/>
      <c r="B1650" s="8"/>
      <c r="C1650" s="8"/>
      <c r="D1650" s="8"/>
      <c r="E1650" s="8"/>
      <c r="F1650" s="8"/>
      <c r="G1650" s="8"/>
      <c r="H1650" s="8"/>
      <c r="I1650" s="9"/>
      <c r="J1650" s="9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7"/>
      <c r="B1651" s="8"/>
      <c r="C1651" s="8"/>
      <c r="D1651" s="8"/>
      <c r="E1651" s="8"/>
      <c r="F1651" s="8"/>
      <c r="G1651" s="8"/>
      <c r="H1651" s="8"/>
      <c r="I1651" s="9"/>
      <c r="J1651" s="9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7"/>
      <c r="B1652" s="8"/>
      <c r="C1652" s="8"/>
      <c r="D1652" s="8"/>
      <c r="E1652" s="8"/>
      <c r="F1652" s="8"/>
      <c r="G1652" s="8"/>
      <c r="H1652" s="8"/>
      <c r="I1652" s="9"/>
      <c r="J1652" s="9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7"/>
      <c r="B1653" s="8"/>
      <c r="C1653" s="8"/>
      <c r="D1653" s="8"/>
      <c r="E1653" s="8"/>
      <c r="F1653" s="8"/>
      <c r="G1653" s="8"/>
      <c r="H1653" s="8"/>
      <c r="I1653" s="9"/>
      <c r="J1653" s="9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7"/>
      <c r="B1654" s="8"/>
      <c r="C1654" s="8"/>
      <c r="D1654" s="8"/>
      <c r="E1654" s="8"/>
      <c r="F1654" s="8"/>
      <c r="G1654" s="8"/>
      <c r="H1654" s="8"/>
      <c r="I1654" s="9"/>
      <c r="J1654" s="9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7"/>
      <c r="B1655" s="8"/>
      <c r="C1655" s="8"/>
      <c r="D1655" s="8"/>
      <c r="E1655" s="8"/>
      <c r="F1655" s="8"/>
      <c r="G1655" s="8"/>
      <c r="H1655" s="8"/>
      <c r="I1655" s="9"/>
      <c r="J1655" s="9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7"/>
      <c r="B1656" s="8"/>
      <c r="C1656" s="8"/>
      <c r="D1656" s="8"/>
      <c r="E1656" s="8"/>
      <c r="F1656" s="8"/>
      <c r="G1656" s="8"/>
      <c r="H1656" s="8"/>
      <c r="I1656" s="9"/>
      <c r="J1656" s="9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7"/>
      <c r="B1657" s="8"/>
      <c r="C1657" s="8"/>
      <c r="D1657" s="8"/>
      <c r="E1657" s="8"/>
      <c r="F1657" s="8"/>
      <c r="G1657" s="8"/>
      <c r="H1657" s="8"/>
      <c r="I1657" s="9"/>
      <c r="J1657" s="9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7"/>
      <c r="B1658" s="8"/>
      <c r="C1658" s="8"/>
      <c r="D1658" s="8"/>
      <c r="E1658" s="8"/>
      <c r="F1658" s="8"/>
      <c r="G1658" s="8"/>
      <c r="H1658" s="8"/>
      <c r="I1658" s="9"/>
      <c r="J1658" s="9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7"/>
      <c r="B1659" s="8"/>
      <c r="C1659" s="8"/>
      <c r="D1659" s="8"/>
      <c r="E1659" s="8"/>
      <c r="F1659" s="8"/>
      <c r="G1659" s="8"/>
      <c r="H1659" s="8"/>
      <c r="I1659" s="9"/>
      <c r="J1659" s="9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7"/>
      <c r="B1660" s="8"/>
      <c r="C1660" s="8"/>
      <c r="D1660" s="8"/>
      <c r="E1660" s="8"/>
      <c r="F1660" s="8"/>
      <c r="G1660" s="8"/>
      <c r="H1660" s="8"/>
      <c r="I1660" s="9"/>
      <c r="J1660" s="9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7"/>
      <c r="B1661" s="8"/>
      <c r="C1661" s="8"/>
      <c r="D1661" s="8"/>
      <c r="E1661" s="8"/>
      <c r="F1661" s="8"/>
      <c r="G1661" s="8"/>
      <c r="H1661" s="8"/>
      <c r="I1661" s="9"/>
      <c r="J1661" s="9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7"/>
      <c r="B1662" s="8"/>
      <c r="C1662" s="8"/>
      <c r="D1662" s="8"/>
      <c r="E1662" s="8"/>
      <c r="F1662" s="8"/>
      <c r="G1662" s="8"/>
      <c r="H1662" s="8"/>
      <c r="I1662" s="9"/>
      <c r="J1662" s="9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7"/>
      <c r="B1663" s="8"/>
      <c r="C1663" s="8"/>
      <c r="D1663" s="8"/>
      <c r="E1663" s="8"/>
      <c r="F1663" s="8"/>
      <c r="G1663" s="8"/>
      <c r="H1663" s="8"/>
      <c r="I1663" s="9"/>
      <c r="J1663" s="9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7"/>
      <c r="B1664" s="8"/>
      <c r="C1664" s="8"/>
      <c r="D1664" s="8"/>
      <c r="E1664" s="8"/>
      <c r="F1664" s="8"/>
      <c r="G1664" s="8"/>
      <c r="H1664" s="8"/>
      <c r="I1664" s="9"/>
      <c r="J1664" s="9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7"/>
      <c r="B1665" s="8"/>
      <c r="C1665" s="8"/>
      <c r="D1665" s="8"/>
      <c r="E1665" s="8"/>
      <c r="F1665" s="8"/>
      <c r="G1665" s="8"/>
      <c r="H1665" s="8"/>
      <c r="I1665" s="9"/>
      <c r="J1665" s="9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7"/>
      <c r="B1666" s="8"/>
      <c r="C1666" s="8"/>
      <c r="D1666" s="8"/>
      <c r="E1666" s="8"/>
      <c r="F1666" s="8"/>
      <c r="G1666" s="8"/>
      <c r="H1666" s="8"/>
      <c r="I1666" s="9"/>
      <c r="J1666" s="9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7"/>
      <c r="B1667" s="8"/>
      <c r="C1667" s="8"/>
      <c r="D1667" s="8"/>
      <c r="E1667" s="8"/>
      <c r="F1667" s="8"/>
      <c r="G1667" s="8"/>
      <c r="H1667" s="8"/>
      <c r="I1667" s="9"/>
      <c r="J1667" s="9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7"/>
      <c r="B1668" s="8"/>
      <c r="C1668" s="8"/>
      <c r="D1668" s="8"/>
      <c r="E1668" s="8"/>
      <c r="F1668" s="8"/>
      <c r="G1668" s="8"/>
      <c r="H1668" s="8"/>
      <c r="I1668" s="9"/>
      <c r="J1668" s="9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7"/>
      <c r="B1669" s="8"/>
      <c r="C1669" s="8"/>
      <c r="D1669" s="8"/>
      <c r="E1669" s="8"/>
      <c r="F1669" s="8"/>
      <c r="G1669" s="8"/>
      <c r="H1669" s="8"/>
      <c r="I1669" s="9"/>
      <c r="J1669" s="9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7"/>
      <c r="B1670" s="8"/>
      <c r="C1670" s="8"/>
      <c r="D1670" s="8"/>
      <c r="E1670" s="8"/>
      <c r="F1670" s="8"/>
      <c r="G1670" s="8"/>
      <c r="H1670" s="8"/>
      <c r="I1670" s="9"/>
      <c r="J1670" s="9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7"/>
      <c r="B1671" s="8"/>
      <c r="C1671" s="8"/>
      <c r="D1671" s="8"/>
      <c r="E1671" s="8"/>
      <c r="F1671" s="8"/>
      <c r="G1671" s="8"/>
      <c r="H1671" s="8"/>
      <c r="I1671" s="9"/>
      <c r="J1671" s="9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7"/>
      <c r="B1672" s="8"/>
      <c r="C1672" s="8"/>
      <c r="D1672" s="8"/>
      <c r="E1672" s="8"/>
      <c r="F1672" s="8"/>
      <c r="G1672" s="8"/>
      <c r="H1672" s="8"/>
      <c r="I1672" s="9"/>
      <c r="J1672" s="9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7"/>
      <c r="B1673" s="8"/>
      <c r="C1673" s="8"/>
      <c r="D1673" s="8"/>
      <c r="E1673" s="8"/>
      <c r="F1673" s="8"/>
      <c r="G1673" s="8"/>
      <c r="H1673" s="8"/>
      <c r="I1673" s="9"/>
      <c r="J1673" s="9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7"/>
      <c r="B1674" s="8"/>
      <c r="C1674" s="8"/>
      <c r="D1674" s="8"/>
      <c r="E1674" s="8"/>
      <c r="F1674" s="8"/>
      <c r="G1674" s="8"/>
      <c r="H1674" s="8"/>
      <c r="I1674" s="9"/>
      <c r="J1674" s="9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7"/>
      <c r="B1675" s="8"/>
      <c r="C1675" s="8"/>
      <c r="D1675" s="8"/>
      <c r="E1675" s="8"/>
      <c r="F1675" s="8"/>
      <c r="G1675" s="8"/>
      <c r="H1675" s="8"/>
      <c r="I1675" s="9"/>
      <c r="J1675" s="9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7"/>
      <c r="B1676" s="8"/>
      <c r="C1676" s="8"/>
      <c r="D1676" s="8"/>
      <c r="E1676" s="8"/>
      <c r="F1676" s="8"/>
      <c r="G1676" s="8"/>
      <c r="H1676" s="8"/>
      <c r="I1676" s="9"/>
      <c r="J1676" s="9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7"/>
      <c r="B1677" s="8"/>
      <c r="C1677" s="8"/>
      <c r="D1677" s="8"/>
      <c r="E1677" s="8"/>
      <c r="F1677" s="8"/>
      <c r="G1677" s="8"/>
      <c r="H1677" s="8"/>
      <c r="I1677" s="9"/>
      <c r="J1677" s="9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7"/>
      <c r="B1678" s="8"/>
      <c r="C1678" s="8"/>
      <c r="D1678" s="8"/>
      <c r="E1678" s="8"/>
      <c r="F1678" s="8"/>
      <c r="G1678" s="8"/>
      <c r="H1678" s="8"/>
      <c r="I1678" s="9"/>
      <c r="J1678" s="9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7"/>
      <c r="B1679" s="8"/>
      <c r="C1679" s="8"/>
      <c r="D1679" s="8"/>
      <c r="E1679" s="8"/>
      <c r="F1679" s="8"/>
      <c r="G1679" s="8"/>
      <c r="H1679" s="8"/>
      <c r="I1679" s="9"/>
      <c r="J1679" s="9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7"/>
      <c r="B1680" s="8"/>
      <c r="C1680" s="8"/>
      <c r="D1680" s="8"/>
      <c r="E1680" s="8"/>
      <c r="F1680" s="8"/>
      <c r="G1680" s="8"/>
      <c r="H1680" s="8"/>
      <c r="I1680" s="9"/>
      <c r="J1680" s="9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7"/>
      <c r="B1681" s="8"/>
      <c r="C1681" s="8"/>
      <c r="D1681" s="8"/>
      <c r="E1681" s="8"/>
      <c r="F1681" s="8"/>
      <c r="G1681" s="8"/>
      <c r="H1681" s="8"/>
      <c r="I1681" s="9"/>
      <c r="J1681" s="9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7"/>
      <c r="B1682" s="8"/>
      <c r="C1682" s="8"/>
      <c r="D1682" s="8"/>
      <c r="E1682" s="8"/>
      <c r="F1682" s="8"/>
      <c r="G1682" s="8"/>
      <c r="H1682" s="8"/>
      <c r="I1682" s="9"/>
      <c r="J1682" s="9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7"/>
      <c r="B1683" s="8"/>
      <c r="C1683" s="8"/>
      <c r="D1683" s="8"/>
      <c r="E1683" s="8"/>
      <c r="F1683" s="8"/>
      <c r="G1683" s="8"/>
      <c r="H1683" s="8"/>
      <c r="I1683" s="9"/>
      <c r="J1683" s="9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7"/>
      <c r="B1684" s="8"/>
      <c r="C1684" s="8"/>
      <c r="D1684" s="8"/>
      <c r="E1684" s="8"/>
      <c r="F1684" s="8"/>
      <c r="G1684" s="8"/>
      <c r="H1684" s="8"/>
      <c r="I1684" s="9"/>
      <c r="J1684" s="9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7"/>
      <c r="B1685" s="8"/>
      <c r="C1685" s="8"/>
      <c r="D1685" s="8"/>
      <c r="E1685" s="8"/>
      <c r="F1685" s="8"/>
      <c r="G1685" s="8"/>
      <c r="H1685" s="8"/>
      <c r="I1685" s="9"/>
      <c r="J1685" s="9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7"/>
      <c r="B1686" s="8"/>
      <c r="C1686" s="8"/>
      <c r="D1686" s="8"/>
      <c r="E1686" s="8"/>
      <c r="F1686" s="8"/>
      <c r="G1686" s="8"/>
      <c r="H1686" s="8"/>
      <c r="I1686" s="9"/>
      <c r="J1686" s="9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7"/>
      <c r="B1687" s="8"/>
      <c r="C1687" s="8"/>
      <c r="D1687" s="8"/>
      <c r="E1687" s="8"/>
      <c r="F1687" s="8"/>
      <c r="G1687" s="8"/>
      <c r="H1687" s="8"/>
      <c r="I1687" s="9"/>
      <c r="J1687" s="9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7"/>
      <c r="B1688" s="8"/>
      <c r="C1688" s="8"/>
      <c r="D1688" s="8"/>
      <c r="E1688" s="8"/>
      <c r="F1688" s="8"/>
      <c r="G1688" s="8"/>
      <c r="H1688" s="8"/>
      <c r="I1688" s="9"/>
      <c r="J1688" s="9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7"/>
      <c r="B1689" s="8"/>
      <c r="C1689" s="8"/>
      <c r="D1689" s="8"/>
      <c r="E1689" s="8"/>
      <c r="F1689" s="8"/>
      <c r="G1689" s="8"/>
      <c r="H1689" s="8"/>
      <c r="I1689" s="9"/>
      <c r="J1689" s="9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7"/>
      <c r="B1690" s="8"/>
      <c r="C1690" s="8"/>
      <c r="D1690" s="8"/>
      <c r="E1690" s="8"/>
      <c r="F1690" s="8"/>
      <c r="G1690" s="8"/>
      <c r="H1690" s="8"/>
      <c r="I1690" s="9"/>
      <c r="J1690" s="9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7"/>
      <c r="B1691" s="8"/>
      <c r="C1691" s="8"/>
      <c r="D1691" s="8"/>
      <c r="E1691" s="8"/>
      <c r="F1691" s="8"/>
      <c r="G1691" s="8"/>
      <c r="H1691" s="8"/>
      <c r="I1691" s="9"/>
      <c r="J1691" s="9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7"/>
      <c r="B1692" s="8"/>
      <c r="C1692" s="8"/>
      <c r="D1692" s="8"/>
      <c r="E1692" s="8"/>
      <c r="F1692" s="8"/>
      <c r="G1692" s="8"/>
      <c r="H1692" s="8"/>
      <c r="I1692" s="9"/>
      <c r="J1692" s="9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7"/>
      <c r="B1693" s="8"/>
      <c r="C1693" s="8"/>
      <c r="D1693" s="8"/>
      <c r="E1693" s="8"/>
      <c r="F1693" s="8"/>
      <c r="G1693" s="8"/>
      <c r="H1693" s="8"/>
      <c r="I1693" s="9"/>
      <c r="J1693" s="9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7"/>
      <c r="B1694" s="8"/>
      <c r="C1694" s="8"/>
      <c r="D1694" s="8"/>
      <c r="E1694" s="8"/>
      <c r="F1694" s="8"/>
      <c r="G1694" s="8"/>
      <c r="H1694" s="8"/>
      <c r="I1694" s="9"/>
      <c r="J1694" s="9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7"/>
      <c r="B1695" s="8"/>
      <c r="C1695" s="8"/>
      <c r="D1695" s="8"/>
      <c r="E1695" s="8"/>
      <c r="F1695" s="8"/>
      <c r="G1695" s="8"/>
      <c r="H1695" s="8"/>
      <c r="I1695" s="9"/>
      <c r="J1695" s="9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7"/>
      <c r="B1696" s="8"/>
      <c r="C1696" s="8"/>
      <c r="D1696" s="8"/>
      <c r="E1696" s="8"/>
      <c r="F1696" s="8"/>
      <c r="G1696" s="8"/>
      <c r="H1696" s="8"/>
      <c r="I1696" s="9"/>
      <c r="J1696" s="9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7"/>
      <c r="B1697" s="8"/>
      <c r="C1697" s="8"/>
      <c r="D1697" s="8"/>
      <c r="E1697" s="8"/>
      <c r="F1697" s="8"/>
      <c r="G1697" s="8"/>
      <c r="H1697" s="8"/>
      <c r="I1697" s="9"/>
      <c r="J1697" s="9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7"/>
      <c r="B1698" s="8"/>
      <c r="C1698" s="8"/>
      <c r="D1698" s="8"/>
      <c r="E1698" s="8"/>
      <c r="F1698" s="8"/>
      <c r="G1698" s="8"/>
      <c r="H1698" s="8"/>
      <c r="I1698" s="9"/>
      <c r="J1698" s="9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7"/>
      <c r="B1699" s="8"/>
      <c r="C1699" s="8"/>
      <c r="D1699" s="8"/>
      <c r="E1699" s="8"/>
      <c r="F1699" s="8"/>
      <c r="G1699" s="8"/>
      <c r="H1699" s="8"/>
      <c r="I1699" s="9"/>
      <c r="J1699" s="9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7"/>
      <c r="B1700" s="8"/>
      <c r="C1700" s="8"/>
      <c r="D1700" s="8"/>
      <c r="E1700" s="8"/>
      <c r="F1700" s="8"/>
      <c r="G1700" s="8"/>
      <c r="H1700" s="8"/>
      <c r="I1700" s="9"/>
      <c r="J1700" s="9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7"/>
      <c r="B1701" s="8"/>
      <c r="C1701" s="8"/>
      <c r="D1701" s="8"/>
      <c r="E1701" s="8"/>
      <c r="F1701" s="8"/>
      <c r="G1701" s="8"/>
      <c r="H1701" s="8"/>
      <c r="I1701" s="9"/>
      <c r="J1701" s="9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7"/>
      <c r="B1702" s="8"/>
      <c r="C1702" s="8"/>
      <c r="D1702" s="8"/>
      <c r="E1702" s="8"/>
      <c r="F1702" s="8"/>
      <c r="G1702" s="8"/>
      <c r="H1702" s="8"/>
      <c r="I1702" s="9"/>
      <c r="J1702" s="9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7"/>
      <c r="B1703" s="8"/>
      <c r="C1703" s="8"/>
      <c r="D1703" s="8"/>
      <c r="E1703" s="8"/>
      <c r="F1703" s="8"/>
      <c r="G1703" s="8"/>
      <c r="H1703" s="8"/>
      <c r="I1703" s="9"/>
      <c r="J1703" s="9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7"/>
      <c r="B1704" s="8"/>
      <c r="C1704" s="8"/>
      <c r="D1704" s="8"/>
      <c r="E1704" s="8"/>
      <c r="F1704" s="8"/>
      <c r="G1704" s="8"/>
      <c r="H1704" s="8"/>
      <c r="I1704" s="9"/>
      <c r="J1704" s="9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7"/>
      <c r="B1705" s="8"/>
      <c r="C1705" s="8"/>
      <c r="D1705" s="8"/>
      <c r="E1705" s="8"/>
      <c r="F1705" s="8"/>
      <c r="G1705" s="8"/>
      <c r="H1705" s="8"/>
      <c r="I1705" s="9"/>
      <c r="J1705" s="9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7"/>
      <c r="B1706" s="8"/>
      <c r="C1706" s="8"/>
      <c r="D1706" s="8"/>
      <c r="E1706" s="8"/>
      <c r="F1706" s="8"/>
      <c r="G1706" s="8"/>
      <c r="H1706" s="8"/>
      <c r="I1706" s="9"/>
      <c r="J1706" s="9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7"/>
      <c r="B1707" s="8"/>
      <c r="C1707" s="8"/>
      <c r="D1707" s="8"/>
      <c r="E1707" s="8"/>
      <c r="F1707" s="8"/>
      <c r="G1707" s="8"/>
      <c r="H1707" s="8"/>
      <c r="I1707" s="9"/>
      <c r="J1707" s="9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7"/>
      <c r="B1708" s="8"/>
      <c r="C1708" s="8"/>
      <c r="D1708" s="8"/>
      <c r="E1708" s="8"/>
      <c r="F1708" s="8"/>
      <c r="G1708" s="8"/>
      <c r="H1708" s="8"/>
      <c r="I1708" s="9"/>
      <c r="J1708" s="9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7"/>
      <c r="B1709" s="8"/>
      <c r="C1709" s="8"/>
      <c r="D1709" s="8"/>
      <c r="E1709" s="8"/>
      <c r="F1709" s="8"/>
      <c r="G1709" s="8"/>
      <c r="H1709" s="8"/>
      <c r="I1709" s="9"/>
      <c r="J1709" s="9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7"/>
      <c r="B1710" s="8"/>
      <c r="C1710" s="8"/>
      <c r="D1710" s="8"/>
      <c r="E1710" s="8"/>
      <c r="F1710" s="8"/>
      <c r="G1710" s="8"/>
      <c r="H1710" s="8"/>
      <c r="I1710" s="9"/>
      <c r="J1710" s="9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7"/>
      <c r="B1711" s="8"/>
      <c r="C1711" s="8"/>
      <c r="D1711" s="8"/>
      <c r="E1711" s="8"/>
      <c r="F1711" s="8"/>
      <c r="G1711" s="8"/>
      <c r="H1711" s="8"/>
      <c r="I1711" s="9"/>
      <c r="J1711" s="9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7"/>
      <c r="B1712" s="8"/>
      <c r="C1712" s="8"/>
      <c r="D1712" s="8"/>
      <c r="E1712" s="8"/>
      <c r="F1712" s="8"/>
      <c r="G1712" s="8"/>
      <c r="H1712" s="8"/>
      <c r="I1712" s="9"/>
      <c r="J1712" s="9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7"/>
      <c r="B1713" s="8"/>
      <c r="C1713" s="8"/>
      <c r="D1713" s="8"/>
      <c r="E1713" s="8"/>
      <c r="F1713" s="8"/>
      <c r="G1713" s="8"/>
      <c r="H1713" s="8"/>
      <c r="I1713" s="9"/>
      <c r="J1713" s="9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7"/>
      <c r="B1714" s="8"/>
      <c r="C1714" s="8"/>
      <c r="D1714" s="8"/>
      <c r="E1714" s="8"/>
      <c r="F1714" s="8"/>
      <c r="G1714" s="8"/>
      <c r="H1714" s="8"/>
      <c r="I1714" s="9"/>
      <c r="J1714" s="9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7"/>
      <c r="B1715" s="8"/>
      <c r="C1715" s="8"/>
      <c r="D1715" s="8"/>
      <c r="E1715" s="8"/>
      <c r="F1715" s="8"/>
      <c r="G1715" s="8"/>
      <c r="H1715" s="8"/>
      <c r="I1715" s="9"/>
      <c r="J1715" s="9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7"/>
      <c r="B1716" s="8"/>
      <c r="C1716" s="8"/>
      <c r="D1716" s="8"/>
      <c r="E1716" s="8"/>
      <c r="F1716" s="8"/>
      <c r="G1716" s="8"/>
      <c r="H1716" s="8"/>
      <c r="I1716" s="9"/>
      <c r="J1716" s="9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7"/>
      <c r="B1717" s="8"/>
      <c r="C1717" s="8"/>
      <c r="D1717" s="8"/>
      <c r="E1717" s="8"/>
      <c r="F1717" s="8"/>
      <c r="G1717" s="8"/>
      <c r="H1717" s="8"/>
      <c r="I1717" s="9"/>
      <c r="J1717" s="9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7"/>
      <c r="B1718" s="8"/>
      <c r="C1718" s="8"/>
      <c r="D1718" s="8"/>
      <c r="E1718" s="8"/>
      <c r="F1718" s="8"/>
      <c r="G1718" s="8"/>
      <c r="H1718" s="8"/>
      <c r="I1718" s="9"/>
      <c r="J1718" s="9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7"/>
      <c r="B1719" s="8"/>
      <c r="C1719" s="8"/>
      <c r="D1719" s="8"/>
      <c r="E1719" s="8"/>
      <c r="F1719" s="8"/>
      <c r="G1719" s="8"/>
      <c r="H1719" s="8"/>
      <c r="I1719" s="9"/>
      <c r="J1719" s="9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7"/>
      <c r="B1720" s="8"/>
      <c r="C1720" s="8"/>
      <c r="D1720" s="8"/>
      <c r="E1720" s="8"/>
      <c r="F1720" s="8"/>
      <c r="G1720" s="8"/>
      <c r="H1720" s="8"/>
      <c r="I1720" s="9"/>
      <c r="J1720" s="9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7"/>
      <c r="B1721" s="8"/>
      <c r="C1721" s="8"/>
      <c r="D1721" s="8"/>
      <c r="E1721" s="8"/>
      <c r="F1721" s="8"/>
      <c r="G1721" s="8"/>
      <c r="H1721" s="8"/>
      <c r="I1721" s="9"/>
      <c r="J1721" s="9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7"/>
      <c r="B1722" s="8"/>
      <c r="C1722" s="8"/>
      <c r="D1722" s="8"/>
      <c r="E1722" s="8"/>
      <c r="F1722" s="8"/>
      <c r="G1722" s="8"/>
      <c r="H1722" s="8"/>
      <c r="I1722" s="9"/>
      <c r="J1722" s="9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7"/>
      <c r="B1723" s="8"/>
      <c r="C1723" s="8"/>
      <c r="D1723" s="8"/>
      <c r="E1723" s="8"/>
      <c r="F1723" s="8"/>
      <c r="G1723" s="8"/>
      <c r="H1723" s="8"/>
      <c r="I1723" s="9"/>
      <c r="J1723" s="9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7"/>
      <c r="B1724" s="8"/>
      <c r="C1724" s="8"/>
      <c r="D1724" s="8"/>
      <c r="E1724" s="8"/>
      <c r="F1724" s="8"/>
      <c r="G1724" s="8"/>
      <c r="H1724" s="8"/>
      <c r="I1724" s="9"/>
      <c r="J1724" s="9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7"/>
      <c r="B1725" s="8"/>
      <c r="C1725" s="8"/>
      <c r="D1725" s="8"/>
      <c r="E1725" s="8"/>
      <c r="F1725" s="8"/>
      <c r="G1725" s="8"/>
      <c r="H1725" s="8"/>
      <c r="I1725" s="9"/>
      <c r="J1725" s="9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7"/>
      <c r="B1726" s="8"/>
      <c r="C1726" s="8"/>
      <c r="D1726" s="8"/>
      <c r="E1726" s="8"/>
      <c r="F1726" s="8"/>
      <c r="G1726" s="8"/>
      <c r="H1726" s="8"/>
      <c r="I1726" s="9"/>
      <c r="J1726" s="9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7"/>
      <c r="B1727" s="8"/>
      <c r="C1727" s="8"/>
      <c r="D1727" s="8"/>
      <c r="E1727" s="8"/>
      <c r="F1727" s="8"/>
      <c r="G1727" s="8"/>
      <c r="H1727" s="8"/>
      <c r="I1727" s="9"/>
      <c r="J1727" s="9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7"/>
      <c r="B1728" s="8"/>
      <c r="C1728" s="8"/>
      <c r="D1728" s="8"/>
      <c r="E1728" s="8"/>
      <c r="F1728" s="8"/>
      <c r="G1728" s="8"/>
      <c r="H1728" s="8"/>
      <c r="I1728" s="9"/>
      <c r="J1728" s="9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7"/>
      <c r="B1729" s="8"/>
      <c r="C1729" s="8"/>
      <c r="D1729" s="8"/>
      <c r="E1729" s="8"/>
      <c r="F1729" s="8"/>
      <c r="G1729" s="8"/>
      <c r="H1729" s="8"/>
      <c r="I1729" s="9"/>
      <c r="J1729" s="9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7"/>
      <c r="B1730" s="8"/>
      <c r="C1730" s="8"/>
      <c r="D1730" s="8"/>
      <c r="E1730" s="8"/>
      <c r="F1730" s="8"/>
      <c r="G1730" s="8"/>
      <c r="H1730" s="8"/>
      <c r="I1730" s="9"/>
      <c r="J1730" s="9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7"/>
      <c r="B1731" s="8"/>
      <c r="C1731" s="8"/>
      <c r="D1731" s="8"/>
      <c r="E1731" s="8"/>
      <c r="F1731" s="8"/>
      <c r="G1731" s="8"/>
      <c r="H1731" s="8"/>
      <c r="I1731" s="9"/>
      <c r="J1731" s="9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7"/>
      <c r="B1732" s="8"/>
      <c r="C1732" s="8"/>
      <c r="D1732" s="8"/>
      <c r="E1732" s="8"/>
      <c r="F1732" s="8"/>
      <c r="G1732" s="8"/>
      <c r="H1732" s="8"/>
      <c r="I1732" s="9"/>
      <c r="J1732" s="9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7"/>
      <c r="B1733" s="8"/>
      <c r="C1733" s="8"/>
      <c r="D1733" s="8"/>
      <c r="E1733" s="8"/>
      <c r="F1733" s="8"/>
      <c r="G1733" s="8"/>
      <c r="H1733" s="8"/>
      <c r="I1733" s="9"/>
      <c r="J1733" s="9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7"/>
      <c r="B1734" s="8"/>
      <c r="C1734" s="8"/>
      <c r="D1734" s="8"/>
      <c r="E1734" s="8"/>
      <c r="F1734" s="8"/>
      <c r="G1734" s="8"/>
      <c r="H1734" s="8"/>
      <c r="I1734" s="9"/>
      <c r="J1734" s="9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7"/>
      <c r="B1735" s="8"/>
      <c r="C1735" s="8"/>
      <c r="D1735" s="8"/>
      <c r="E1735" s="8"/>
      <c r="F1735" s="8"/>
      <c r="G1735" s="8"/>
      <c r="H1735" s="8"/>
      <c r="I1735" s="9"/>
      <c r="J1735" s="9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7"/>
      <c r="B1736" s="8"/>
      <c r="C1736" s="8"/>
      <c r="D1736" s="8"/>
      <c r="E1736" s="8"/>
      <c r="F1736" s="8"/>
      <c r="G1736" s="8"/>
      <c r="H1736" s="8"/>
      <c r="I1736" s="9"/>
      <c r="J1736" s="9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7"/>
      <c r="B1737" s="8"/>
      <c r="C1737" s="8"/>
      <c r="D1737" s="8"/>
      <c r="E1737" s="8"/>
      <c r="F1737" s="8"/>
      <c r="G1737" s="8"/>
      <c r="H1737" s="8"/>
      <c r="I1737" s="9"/>
      <c r="J1737" s="9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7"/>
      <c r="B1738" s="8"/>
      <c r="C1738" s="8"/>
      <c r="D1738" s="8"/>
      <c r="E1738" s="8"/>
      <c r="F1738" s="8"/>
      <c r="G1738" s="8"/>
      <c r="H1738" s="8"/>
      <c r="I1738" s="9"/>
      <c r="J1738" s="9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7"/>
      <c r="B1739" s="8"/>
      <c r="C1739" s="8"/>
      <c r="D1739" s="8"/>
      <c r="E1739" s="8"/>
      <c r="F1739" s="8"/>
      <c r="G1739" s="8"/>
      <c r="H1739" s="8"/>
      <c r="I1739" s="9"/>
      <c r="J1739" s="9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7"/>
      <c r="B1740" s="8"/>
      <c r="C1740" s="8"/>
      <c r="D1740" s="8"/>
      <c r="E1740" s="8"/>
      <c r="F1740" s="8"/>
      <c r="G1740" s="8"/>
      <c r="H1740" s="8"/>
      <c r="I1740" s="9"/>
      <c r="J1740" s="9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7"/>
      <c r="B1741" s="8"/>
      <c r="C1741" s="8"/>
      <c r="D1741" s="8"/>
      <c r="E1741" s="8"/>
      <c r="F1741" s="8"/>
      <c r="G1741" s="8"/>
      <c r="H1741" s="8"/>
      <c r="I1741" s="9"/>
      <c r="J1741" s="9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7"/>
      <c r="B1742" s="8"/>
      <c r="C1742" s="8"/>
      <c r="D1742" s="8"/>
      <c r="E1742" s="8"/>
      <c r="F1742" s="8"/>
      <c r="G1742" s="8"/>
      <c r="H1742" s="8"/>
      <c r="I1742" s="9"/>
      <c r="J1742" s="9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7"/>
      <c r="B1743" s="8"/>
      <c r="C1743" s="8"/>
      <c r="D1743" s="8"/>
      <c r="E1743" s="8"/>
      <c r="F1743" s="8"/>
      <c r="G1743" s="8"/>
      <c r="H1743" s="8"/>
      <c r="I1743" s="9"/>
      <c r="J1743" s="9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7"/>
      <c r="B1744" s="8"/>
      <c r="C1744" s="8"/>
      <c r="D1744" s="8"/>
      <c r="E1744" s="8"/>
      <c r="F1744" s="8"/>
      <c r="G1744" s="8"/>
      <c r="H1744" s="8"/>
      <c r="I1744" s="9"/>
      <c r="J1744" s="9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7"/>
      <c r="B1745" s="8"/>
      <c r="C1745" s="8"/>
      <c r="D1745" s="8"/>
      <c r="E1745" s="8"/>
      <c r="F1745" s="8"/>
      <c r="G1745" s="8"/>
      <c r="H1745" s="8"/>
      <c r="I1745" s="9"/>
      <c r="J1745" s="9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7"/>
      <c r="B1746" s="8"/>
      <c r="C1746" s="8"/>
      <c r="D1746" s="8"/>
      <c r="E1746" s="8"/>
      <c r="F1746" s="8"/>
      <c r="G1746" s="8"/>
      <c r="H1746" s="8"/>
      <c r="I1746" s="9"/>
      <c r="J1746" s="9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7"/>
      <c r="B1747" s="8"/>
      <c r="C1747" s="8"/>
      <c r="D1747" s="8"/>
      <c r="E1747" s="8"/>
      <c r="F1747" s="8"/>
      <c r="G1747" s="8"/>
      <c r="H1747" s="8"/>
      <c r="I1747" s="9"/>
      <c r="J1747" s="9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7"/>
      <c r="B1748" s="8"/>
      <c r="C1748" s="8"/>
      <c r="D1748" s="8"/>
      <c r="E1748" s="8"/>
      <c r="F1748" s="8"/>
      <c r="G1748" s="8"/>
      <c r="H1748" s="8"/>
      <c r="I1748" s="9"/>
      <c r="J1748" s="9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7"/>
      <c r="B1749" s="8"/>
      <c r="C1749" s="8"/>
      <c r="D1749" s="8"/>
      <c r="E1749" s="8"/>
      <c r="F1749" s="8"/>
      <c r="G1749" s="8"/>
      <c r="H1749" s="8"/>
      <c r="I1749" s="9"/>
      <c r="J1749" s="9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7"/>
      <c r="B1750" s="8"/>
      <c r="C1750" s="8"/>
      <c r="D1750" s="8"/>
      <c r="E1750" s="8"/>
      <c r="F1750" s="8"/>
      <c r="G1750" s="8"/>
      <c r="H1750" s="8"/>
      <c r="I1750" s="9"/>
      <c r="J1750" s="9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7"/>
      <c r="B1751" s="8"/>
      <c r="C1751" s="8"/>
      <c r="D1751" s="8"/>
      <c r="E1751" s="8"/>
      <c r="F1751" s="8"/>
      <c r="G1751" s="8"/>
      <c r="H1751" s="8"/>
      <c r="I1751" s="9"/>
      <c r="J1751" s="9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7"/>
      <c r="B1752" s="8"/>
      <c r="C1752" s="8"/>
      <c r="D1752" s="8"/>
      <c r="E1752" s="8"/>
      <c r="F1752" s="8"/>
      <c r="G1752" s="8"/>
      <c r="H1752" s="8"/>
      <c r="I1752" s="9"/>
      <c r="J1752" s="9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7"/>
      <c r="B1753" s="8"/>
      <c r="C1753" s="8"/>
      <c r="D1753" s="8"/>
      <c r="E1753" s="8"/>
      <c r="F1753" s="8"/>
      <c r="G1753" s="8"/>
      <c r="H1753" s="8"/>
      <c r="I1753" s="9"/>
      <c r="J1753" s="9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7"/>
      <c r="B1754" s="8"/>
      <c r="C1754" s="8"/>
      <c r="D1754" s="8"/>
      <c r="E1754" s="8"/>
      <c r="F1754" s="8"/>
      <c r="G1754" s="8"/>
      <c r="H1754" s="8"/>
      <c r="I1754" s="9"/>
      <c r="J1754" s="9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7"/>
      <c r="B1755" s="8"/>
      <c r="C1755" s="8"/>
      <c r="D1755" s="8"/>
      <c r="E1755" s="8"/>
      <c r="F1755" s="8"/>
      <c r="G1755" s="8"/>
      <c r="H1755" s="8"/>
      <c r="I1755" s="9"/>
      <c r="J1755" s="9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7"/>
      <c r="B1756" s="8"/>
      <c r="C1756" s="8"/>
      <c r="D1756" s="8"/>
      <c r="E1756" s="8"/>
      <c r="F1756" s="8"/>
      <c r="G1756" s="8"/>
      <c r="H1756" s="8"/>
      <c r="I1756" s="9"/>
      <c r="J1756" s="9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7"/>
      <c r="B1757" s="8"/>
      <c r="C1757" s="8"/>
      <c r="D1757" s="8"/>
      <c r="E1757" s="8"/>
      <c r="F1757" s="8"/>
      <c r="G1757" s="8"/>
      <c r="H1757" s="8"/>
      <c r="I1757" s="9"/>
      <c r="J1757" s="9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7"/>
      <c r="B1758" s="8"/>
      <c r="C1758" s="8"/>
      <c r="D1758" s="8"/>
      <c r="E1758" s="8"/>
      <c r="F1758" s="8"/>
      <c r="G1758" s="8"/>
      <c r="H1758" s="8"/>
      <c r="I1758" s="9"/>
      <c r="J1758" s="9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7"/>
      <c r="B1759" s="8"/>
      <c r="C1759" s="8"/>
      <c r="D1759" s="8"/>
      <c r="E1759" s="8"/>
      <c r="F1759" s="8"/>
      <c r="G1759" s="8"/>
      <c r="H1759" s="8"/>
      <c r="I1759" s="9"/>
      <c r="J1759" s="9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7"/>
      <c r="B1760" s="8"/>
      <c r="C1760" s="8"/>
      <c r="D1760" s="8"/>
      <c r="E1760" s="8"/>
      <c r="F1760" s="8"/>
      <c r="G1760" s="8"/>
      <c r="H1760" s="8"/>
      <c r="I1760" s="9"/>
      <c r="J1760" s="9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7"/>
      <c r="B1761" s="8"/>
      <c r="C1761" s="8"/>
      <c r="D1761" s="8"/>
      <c r="E1761" s="8"/>
      <c r="F1761" s="8"/>
      <c r="G1761" s="8"/>
      <c r="H1761" s="8"/>
      <c r="I1761" s="9"/>
      <c r="J1761" s="9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7"/>
      <c r="B1762" s="8"/>
      <c r="C1762" s="8"/>
      <c r="D1762" s="8"/>
      <c r="E1762" s="8"/>
      <c r="F1762" s="8"/>
      <c r="G1762" s="8"/>
      <c r="H1762" s="8"/>
      <c r="I1762" s="9"/>
      <c r="J1762" s="9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7"/>
      <c r="B1763" s="8"/>
      <c r="C1763" s="8"/>
      <c r="D1763" s="8"/>
      <c r="E1763" s="8"/>
      <c r="F1763" s="8"/>
      <c r="G1763" s="8"/>
      <c r="H1763" s="8"/>
      <c r="I1763" s="9"/>
      <c r="J1763" s="9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7"/>
      <c r="B1764" s="8"/>
      <c r="C1764" s="8"/>
      <c r="D1764" s="8"/>
      <c r="E1764" s="8"/>
      <c r="F1764" s="8"/>
      <c r="G1764" s="8"/>
      <c r="H1764" s="8"/>
      <c r="I1764" s="9"/>
      <c r="J1764" s="9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7"/>
      <c r="B1765" s="8"/>
      <c r="C1765" s="8"/>
      <c r="D1765" s="8"/>
      <c r="E1765" s="8"/>
      <c r="F1765" s="8"/>
      <c r="G1765" s="8"/>
      <c r="H1765" s="8"/>
      <c r="I1765" s="9"/>
      <c r="J1765" s="9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7"/>
      <c r="B1766" s="8"/>
      <c r="C1766" s="8"/>
      <c r="D1766" s="8"/>
      <c r="E1766" s="8"/>
      <c r="F1766" s="8"/>
      <c r="G1766" s="8"/>
      <c r="H1766" s="8"/>
      <c r="I1766" s="9"/>
      <c r="J1766" s="9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7"/>
      <c r="B1767" s="8"/>
      <c r="C1767" s="8"/>
      <c r="D1767" s="8"/>
      <c r="E1767" s="8"/>
      <c r="F1767" s="8"/>
      <c r="G1767" s="8"/>
      <c r="H1767" s="8"/>
      <c r="I1767" s="9"/>
      <c r="J1767" s="9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7"/>
      <c r="B1768" s="8"/>
      <c r="C1768" s="8"/>
      <c r="D1768" s="8"/>
      <c r="E1768" s="8"/>
      <c r="F1768" s="8"/>
      <c r="G1768" s="8"/>
      <c r="H1768" s="8"/>
      <c r="I1768" s="9"/>
      <c r="J1768" s="9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7"/>
      <c r="B1769" s="8"/>
      <c r="C1769" s="8"/>
      <c r="D1769" s="8"/>
      <c r="E1769" s="8"/>
      <c r="F1769" s="8"/>
      <c r="G1769" s="8"/>
      <c r="H1769" s="8"/>
      <c r="I1769" s="9"/>
      <c r="J1769" s="9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7"/>
      <c r="B1770" s="8"/>
      <c r="C1770" s="8"/>
      <c r="D1770" s="8"/>
      <c r="E1770" s="8"/>
      <c r="F1770" s="8"/>
      <c r="G1770" s="8"/>
      <c r="H1770" s="8"/>
      <c r="I1770" s="9"/>
      <c r="J1770" s="9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7"/>
      <c r="B1771" s="8"/>
      <c r="C1771" s="8"/>
      <c r="D1771" s="8"/>
      <c r="E1771" s="8"/>
      <c r="F1771" s="8"/>
      <c r="G1771" s="8"/>
      <c r="H1771" s="8"/>
      <c r="I1771" s="9"/>
      <c r="J1771" s="9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7"/>
      <c r="B1772" s="8"/>
      <c r="C1772" s="8"/>
      <c r="D1772" s="8"/>
      <c r="E1772" s="8"/>
      <c r="F1772" s="8"/>
      <c r="G1772" s="8"/>
      <c r="H1772" s="8"/>
      <c r="I1772" s="9"/>
      <c r="J1772" s="9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7"/>
      <c r="B1773" s="8"/>
      <c r="C1773" s="8"/>
      <c r="D1773" s="8"/>
      <c r="E1773" s="8"/>
      <c r="F1773" s="8"/>
      <c r="G1773" s="8"/>
      <c r="H1773" s="8"/>
      <c r="I1773" s="9"/>
      <c r="J1773" s="9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7"/>
      <c r="B1774" s="8"/>
      <c r="C1774" s="8"/>
      <c r="D1774" s="8"/>
      <c r="E1774" s="8"/>
      <c r="F1774" s="8"/>
      <c r="G1774" s="8"/>
      <c r="H1774" s="8"/>
      <c r="I1774" s="9"/>
      <c r="J1774" s="9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7"/>
      <c r="B1775" s="8"/>
      <c r="C1775" s="8"/>
      <c r="D1775" s="8"/>
      <c r="E1775" s="8"/>
      <c r="F1775" s="8"/>
      <c r="G1775" s="8"/>
      <c r="H1775" s="8"/>
      <c r="I1775" s="9"/>
      <c r="J1775" s="9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7"/>
      <c r="B1776" s="8"/>
      <c r="C1776" s="8"/>
      <c r="D1776" s="8"/>
      <c r="E1776" s="8"/>
      <c r="F1776" s="8"/>
      <c r="G1776" s="8"/>
      <c r="H1776" s="8"/>
      <c r="I1776" s="9"/>
      <c r="J1776" s="9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7"/>
      <c r="B1777" s="8"/>
      <c r="C1777" s="8"/>
      <c r="D1777" s="8"/>
      <c r="E1777" s="8"/>
      <c r="F1777" s="8"/>
      <c r="G1777" s="8"/>
      <c r="H1777" s="8"/>
      <c r="I1777" s="9"/>
      <c r="J1777" s="9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7"/>
      <c r="B1778" s="8"/>
      <c r="C1778" s="8"/>
      <c r="D1778" s="8"/>
      <c r="E1778" s="8"/>
      <c r="F1778" s="8"/>
      <c r="G1778" s="8"/>
      <c r="H1778" s="8"/>
      <c r="I1778" s="9"/>
      <c r="J1778" s="9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7"/>
      <c r="B1779" s="8"/>
      <c r="C1779" s="8"/>
      <c r="D1779" s="8"/>
      <c r="E1779" s="8"/>
      <c r="F1779" s="8"/>
      <c r="G1779" s="8"/>
      <c r="H1779" s="8"/>
      <c r="I1779" s="9"/>
      <c r="J1779" s="9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7"/>
      <c r="B1780" s="8"/>
      <c r="C1780" s="8"/>
      <c r="D1780" s="8"/>
      <c r="E1780" s="8"/>
      <c r="F1780" s="8"/>
      <c r="G1780" s="8"/>
      <c r="H1780" s="8"/>
      <c r="I1780" s="9"/>
      <c r="J1780" s="9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7"/>
      <c r="B1781" s="8"/>
      <c r="C1781" s="8"/>
      <c r="D1781" s="8"/>
      <c r="E1781" s="8"/>
      <c r="F1781" s="8"/>
      <c r="G1781" s="8"/>
      <c r="H1781" s="8"/>
      <c r="I1781" s="9"/>
      <c r="J1781" s="9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7"/>
      <c r="B1782" s="8"/>
      <c r="C1782" s="8"/>
      <c r="D1782" s="8"/>
      <c r="E1782" s="8"/>
      <c r="F1782" s="8"/>
      <c r="G1782" s="8"/>
      <c r="H1782" s="8"/>
      <c r="I1782" s="9"/>
      <c r="J1782" s="9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7"/>
      <c r="B1783" s="8"/>
      <c r="C1783" s="8"/>
      <c r="D1783" s="8"/>
      <c r="E1783" s="8"/>
      <c r="F1783" s="8"/>
      <c r="G1783" s="8"/>
      <c r="H1783" s="8"/>
      <c r="I1783" s="9"/>
      <c r="J1783" s="9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7"/>
      <c r="B1784" s="8"/>
      <c r="C1784" s="8"/>
      <c r="D1784" s="8"/>
      <c r="E1784" s="8"/>
      <c r="F1784" s="8"/>
      <c r="G1784" s="8"/>
      <c r="H1784" s="8"/>
      <c r="I1784" s="9"/>
      <c r="J1784" s="9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7"/>
      <c r="B1785" s="8"/>
      <c r="C1785" s="8"/>
      <c r="D1785" s="8"/>
      <c r="E1785" s="8"/>
      <c r="F1785" s="8"/>
      <c r="G1785" s="8"/>
      <c r="H1785" s="8"/>
      <c r="I1785" s="9"/>
      <c r="J1785" s="9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7"/>
      <c r="B1786" s="8"/>
      <c r="C1786" s="8"/>
      <c r="D1786" s="8"/>
      <c r="E1786" s="8"/>
      <c r="F1786" s="8"/>
      <c r="G1786" s="8"/>
      <c r="H1786" s="8"/>
      <c r="I1786" s="9"/>
      <c r="J1786" s="9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7"/>
      <c r="B1787" s="8"/>
      <c r="C1787" s="8"/>
      <c r="D1787" s="8"/>
      <c r="E1787" s="8"/>
      <c r="F1787" s="8"/>
      <c r="G1787" s="8"/>
      <c r="H1787" s="8"/>
      <c r="I1787" s="9"/>
      <c r="J1787" s="9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7"/>
      <c r="B1788" s="8"/>
      <c r="C1788" s="8"/>
      <c r="D1788" s="8"/>
      <c r="E1788" s="8"/>
      <c r="F1788" s="8"/>
      <c r="G1788" s="8"/>
      <c r="H1788" s="8"/>
      <c r="I1788" s="9"/>
      <c r="J1788" s="9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7"/>
      <c r="B1789" s="8"/>
      <c r="C1789" s="8"/>
      <c r="D1789" s="8"/>
      <c r="E1789" s="8"/>
      <c r="F1789" s="8"/>
      <c r="G1789" s="8"/>
      <c r="H1789" s="8"/>
      <c r="I1789" s="9"/>
      <c r="J1789" s="9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7"/>
      <c r="B1790" s="8"/>
      <c r="C1790" s="8"/>
      <c r="D1790" s="8"/>
      <c r="E1790" s="8"/>
      <c r="F1790" s="8"/>
      <c r="G1790" s="8"/>
      <c r="H1790" s="8"/>
      <c r="I1790" s="9"/>
      <c r="J1790" s="9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7"/>
      <c r="B1791" s="8"/>
      <c r="C1791" s="8"/>
      <c r="D1791" s="8"/>
      <c r="E1791" s="8"/>
      <c r="F1791" s="8"/>
      <c r="G1791" s="8"/>
      <c r="H1791" s="8"/>
      <c r="I1791" s="9"/>
      <c r="J1791" s="9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7"/>
      <c r="B1792" s="8"/>
      <c r="C1792" s="8"/>
      <c r="D1792" s="8"/>
      <c r="E1792" s="8"/>
      <c r="F1792" s="8"/>
      <c r="G1792" s="8"/>
      <c r="H1792" s="8"/>
      <c r="I1792" s="9"/>
      <c r="J1792" s="9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7"/>
      <c r="B1793" s="8"/>
      <c r="C1793" s="8"/>
      <c r="D1793" s="8"/>
      <c r="E1793" s="8"/>
      <c r="F1793" s="8"/>
      <c r="G1793" s="8"/>
      <c r="H1793" s="8"/>
      <c r="I1793" s="9"/>
      <c r="J1793" s="9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7"/>
      <c r="B1794" s="8"/>
      <c r="C1794" s="8"/>
      <c r="D1794" s="8"/>
      <c r="E1794" s="8"/>
      <c r="F1794" s="8"/>
      <c r="G1794" s="8"/>
      <c r="H1794" s="8"/>
      <c r="I1794" s="9"/>
      <c r="J1794" s="9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7"/>
      <c r="B1795" s="8"/>
      <c r="C1795" s="8"/>
      <c r="D1795" s="8"/>
      <c r="E1795" s="8"/>
      <c r="F1795" s="8"/>
      <c r="G1795" s="8"/>
      <c r="H1795" s="8"/>
      <c r="I1795" s="9"/>
      <c r="J1795" s="9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7"/>
      <c r="B1796" s="8"/>
      <c r="C1796" s="8"/>
      <c r="D1796" s="8"/>
      <c r="E1796" s="8"/>
      <c r="F1796" s="8"/>
      <c r="G1796" s="8"/>
      <c r="H1796" s="8"/>
      <c r="I1796" s="9"/>
      <c r="J1796" s="9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7"/>
      <c r="B1797" s="8"/>
      <c r="C1797" s="8"/>
      <c r="D1797" s="8"/>
      <c r="E1797" s="8"/>
      <c r="F1797" s="8"/>
      <c r="G1797" s="8"/>
      <c r="H1797" s="8"/>
      <c r="I1797" s="9"/>
      <c r="J1797" s="9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7"/>
      <c r="B1798" s="8"/>
      <c r="C1798" s="8"/>
      <c r="D1798" s="8"/>
      <c r="E1798" s="8"/>
      <c r="F1798" s="8"/>
      <c r="G1798" s="8"/>
      <c r="H1798" s="8"/>
      <c r="I1798" s="9"/>
      <c r="J1798" s="9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7"/>
      <c r="B1799" s="8"/>
      <c r="C1799" s="8"/>
      <c r="D1799" s="8"/>
      <c r="E1799" s="8"/>
      <c r="F1799" s="8"/>
      <c r="G1799" s="8"/>
      <c r="H1799" s="8"/>
      <c r="I1799" s="9"/>
      <c r="J1799" s="9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7"/>
      <c r="B1800" s="8"/>
      <c r="C1800" s="8"/>
      <c r="D1800" s="8"/>
      <c r="E1800" s="8"/>
      <c r="F1800" s="8"/>
      <c r="G1800" s="8"/>
      <c r="H1800" s="8"/>
      <c r="I1800" s="9"/>
      <c r="J1800" s="9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7"/>
      <c r="B1801" s="8"/>
      <c r="C1801" s="8"/>
      <c r="D1801" s="8"/>
      <c r="E1801" s="8"/>
      <c r="F1801" s="8"/>
      <c r="G1801" s="8"/>
      <c r="H1801" s="8"/>
      <c r="I1801" s="9"/>
      <c r="J1801" s="9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7"/>
      <c r="B1802" s="8"/>
      <c r="C1802" s="8"/>
      <c r="D1802" s="8"/>
      <c r="E1802" s="8"/>
      <c r="F1802" s="8"/>
      <c r="G1802" s="8"/>
      <c r="H1802" s="8"/>
      <c r="I1802" s="9"/>
      <c r="J1802" s="9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7"/>
      <c r="B1803" s="8"/>
      <c r="C1803" s="8"/>
      <c r="D1803" s="8"/>
      <c r="E1803" s="8"/>
      <c r="F1803" s="8"/>
      <c r="G1803" s="8"/>
      <c r="H1803" s="8"/>
      <c r="I1803" s="9"/>
      <c r="J1803" s="9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7"/>
      <c r="B1804" s="8"/>
      <c r="C1804" s="8"/>
      <c r="D1804" s="8"/>
      <c r="E1804" s="8"/>
      <c r="F1804" s="8"/>
      <c r="G1804" s="8"/>
      <c r="H1804" s="8"/>
      <c r="I1804" s="9"/>
      <c r="J1804" s="9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7"/>
      <c r="B1805" s="8"/>
      <c r="C1805" s="8"/>
      <c r="D1805" s="8"/>
      <c r="E1805" s="8"/>
      <c r="F1805" s="8"/>
      <c r="G1805" s="8"/>
      <c r="H1805" s="8"/>
      <c r="I1805" s="9"/>
      <c r="J1805" s="9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7"/>
      <c r="B1806" s="8"/>
      <c r="C1806" s="8"/>
      <c r="D1806" s="8"/>
      <c r="E1806" s="8"/>
      <c r="F1806" s="8"/>
      <c r="G1806" s="8"/>
      <c r="H1806" s="8"/>
      <c r="I1806" s="9"/>
      <c r="J1806" s="9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7"/>
      <c r="B1807" s="8"/>
      <c r="C1807" s="8"/>
      <c r="D1807" s="8"/>
      <c r="E1807" s="8"/>
      <c r="F1807" s="8"/>
      <c r="G1807" s="8"/>
      <c r="H1807" s="8"/>
      <c r="I1807" s="9"/>
      <c r="J1807" s="9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7"/>
      <c r="B1808" s="8"/>
      <c r="C1808" s="8"/>
      <c r="D1808" s="8"/>
      <c r="E1808" s="8"/>
      <c r="F1808" s="8"/>
      <c r="G1808" s="8"/>
      <c r="H1808" s="8"/>
      <c r="I1808" s="9"/>
      <c r="J1808" s="9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7"/>
      <c r="B1809" s="8"/>
      <c r="C1809" s="8"/>
      <c r="D1809" s="8"/>
      <c r="E1809" s="8"/>
      <c r="F1809" s="8"/>
      <c r="G1809" s="8"/>
      <c r="H1809" s="8"/>
      <c r="I1809" s="9"/>
      <c r="J1809" s="9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7"/>
      <c r="B1810" s="8"/>
      <c r="C1810" s="8"/>
      <c r="D1810" s="8"/>
      <c r="E1810" s="8"/>
      <c r="F1810" s="8"/>
      <c r="G1810" s="8"/>
      <c r="H1810" s="8"/>
      <c r="I1810" s="9"/>
      <c r="J1810" s="9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7"/>
      <c r="B1811" s="8"/>
      <c r="C1811" s="8"/>
      <c r="D1811" s="8"/>
      <c r="E1811" s="8"/>
      <c r="F1811" s="8"/>
      <c r="G1811" s="8"/>
      <c r="H1811" s="8"/>
      <c r="I1811" s="9"/>
      <c r="J1811" s="9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7"/>
      <c r="B1812" s="8"/>
      <c r="C1812" s="8"/>
      <c r="D1812" s="8"/>
      <c r="E1812" s="8"/>
      <c r="F1812" s="8"/>
      <c r="G1812" s="8"/>
      <c r="H1812" s="8"/>
      <c r="I1812" s="9"/>
      <c r="J1812" s="9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7"/>
      <c r="B1813" s="8"/>
      <c r="C1813" s="8"/>
      <c r="D1813" s="8"/>
      <c r="E1813" s="8"/>
      <c r="F1813" s="8"/>
      <c r="G1813" s="8"/>
      <c r="H1813" s="8"/>
      <c r="I1813" s="9"/>
      <c r="J1813" s="9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7"/>
      <c r="B1814" s="8"/>
      <c r="C1814" s="8"/>
      <c r="D1814" s="8"/>
      <c r="E1814" s="8"/>
      <c r="F1814" s="8"/>
      <c r="G1814" s="8"/>
      <c r="H1814" s="8"/>
      <c r="I1814" s="9"/>
      <c r="J1814" s="9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7"/>
      <c r="B1815" s="8"/>
      <c r="C1815" s="8"/>
      <c r="D1815" s="8"/>
      <c r="E1815" s="8"/>
      <c r="F1815" s="8"/>
      <c r="G1815" s="8"/>
      <c r="H1815" s="8"/>
      <c r="I1815" s="9"/>
      <c r="J1815" s="9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7"/>
      <c r="B1816" s="8"/>
      <c r="C1816" s="8"/>
      <c r="D1816" s="8"/>
      <c r="E1816" s="8"/>
      <c r="F1816" s="8"/>
      <c r="G1816" s="8"/>
      <c r="H1816" s="8"/>
      <c r="I1816" s="9"/>
      <c r="J1816" s="9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7"/>
      <c r="B1817" s="8"/>
      <c r="C1817" s="8"/>
      <c r="D1817" s="8"/>
      <c r="E1817" s="8"/>
      <c r="F1817" s="8"/>
      <c r="G1817" s="8"/>
      <c r="H1817" s="8"/>
      <c r="I1817" s="9"/>
      <c r="J1817" s="9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7"/>
      <c r="B1818" s="8"/>
      <c r="C1818" s="8"/>
      <c r="D1818" s="8"/>
      <c r="E1818" s="8"/>
      <c r="F1818" s="8"/>
      <c r="G1818" s="8"/>
      <c r="H1818" s="8"/>
      <c r="I1818" s="9"/>
      <c r="J1818" s="9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7"/>
      <c r="B1819" s="8"/>
      <c r="C1819" s="8"/>
      <c r="D1819" s="8"/>
      <c r="E1819" s="8"/>
      <c r="F1819" s="8"/>
      <c r="G1819" s="8"/>
      <c r="H1819" s="8"/>
      <c r="I1819" s="9"/>
      <c r="J1819" s="9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7"/>
      <c r="B1820" s="8"/>
      <c r="C1820" s="8"/>
      <c r="D1820" s="8"/>
      <c r="E1820" s="8"/>
      <c r="F1820" s="8"/>
      <c r="G1820" s="8"/>
      <c r="H1820" s="8"/>
      <c r="I1820" s="9"/>
      <c r="J1820" s="9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7"/>
      <c r="B1821" s="8"/>
      <c r="C1821" s="8"/>
      <c r="D1821" s="8"/>
      <c r="E1821" s="8"/>
      <c r="F1821" s="8"/>
      <c r="G1821" s="8"/>
      <c r="H1821" s="8"/>
      <c r="I1821" s="9"/>
      <c r="J1821" s="9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7"/>
      <c r="B1822" s="8"/>
      <c r="C1822" s="8"/>
      <c r="D1822" s="8"/>
      <c r="E1822" s="8"/>
      <c r="F1822" s="8"/>
      <c r="G1822" s="8"/>
      <c r="H1822" s="8"/>
      <c r="I1822" s="9"/>
      <c r="J1822" s="9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7"/>
      <c r="B1823" s="8"/>
      <c r="C1823" s="8"/>
      <c r="D1823" s="8"/>
      <c r="E1823" s="8"/>
      <c r="F1823" s="8"/>
      <c r="G1823" s="8"/>
      <c r="H1823" s="8"/>
      <c r="I1823" s="9"/>
      <c r="J1823" s="9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7"/>
      <c r="B1824" s="8"/>
      <c r="C1824" s="8"/>
      <c r="D1824" s="8"/>
      <c r="E1824" s="8"/>
      <c r="F1824" s="8"/>
      <c r="G1824" s="8"/>
      <c r="H1824" s="8"/>
      <c r="I1824" s="9"/>
      <c r="J1824" s="9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7"/>
      <c r="B1825" s="8"/>
      <c r="C1825" s="8"/>
      <c r="D1825" s="8"/>
      <c r="E1825" s="8"/>
      <c r="F1825" s="8"/>
      <c r="G1825" s="8"/>
      <c r="H1825" s="8"/>
      <c r="I1825" s="9"/>
      <c r="J1825" s="9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7"/>
      <c r="B1826" s="8"/>
      <c r="C1826" s="8"/>
      <c r="D1826" s="8"/>
      <c r="E1826" s="8"/>
      <c r="F1826" s="8"/>
      <c r="G1826" s="8"/>
      <c r="H1826" s="8"/>
      <c r="I1826" s="9"/>
      <c r="J1826" s="9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7"/>
      <c r="B1827" s="8"/>
      <c r="C1827" s="8"/>
      <c r="D1827" s="8"/>
      <c r="E1827" s="8"/>
      <c r="F1827" s="8"/>
      <c r="G1827" s="8"/>
      <c r="H1827" s="8"/>
      <c r="I1827" s="9"/>
      <c r="J1827" s="9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7"/>
      <c r="B1828" s="8"/>
      <c r="C1828" s="8"/>
      <c r="D1828" s="8"/>
      <c r="E1828" s="8"/>
      <c r="F1828" s="8"/>
      <c r="G1828" s="8"/>
      <c r="H1828" s="8"/>
      <c r="I1828" s="9"/>
      <c r="J1828" s="9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7"/>
      <c r="B1829" s="8"/>
      <c r="C1829" s="8"/>
      <c r="D1829" s="8"/>
      <c r="E1829" s="8"/>
      <c r="F1829" s="8"/>
      <c r="G1829" s="8"/>
      <c r="H1829" s="8"/>
      <c r="I1829" s="9"/>
      <c r="J1829" s="9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7"/>
      <c r="B1830" s="8"/>
      <c r="C1830" s="8"/>
      <c r="D1830" s="8"/>
      <c r="E1830" s="8"/>
      <c r="F1830" s="8"/>
      <c r="G1830" s="8"/>
      <c r="H1830" s="8"/>
      <c r="I1830" s="9"/>
      <c r="J1830" s="9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7"/>
      <c r="B1831" s="8"/>
      <c r="C1831" s="8"/>
      <c r="D1831" s="8"/>
      <c r="E1831" s="8"/>
      <c r="F1831" s="8"/>
      <c r="G1831" s="8"/>
      <c r="H1831" s="8"/>
      <c r="I1831" s="9"/>
      <c r="J1831" s="9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7"/>
      <c r="B1832" s="8"/>
      <c r="C1832" s="8"/>
      <c r="D1832" s="8"/>
      <c r="E1832" s="8"/>
      <c r="F1832" s="8"/>
      <c r="G1832" s="8"/>
      <c r="H1832" s="8"/>
      <c r="I1832" s="9"/>
      <c r="J1832" s="9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7"/>
      <c r="B1833" s="8"/>
      <c r="C1833" s="8"/>
      <c r="D1833" s="8"/>
      <c r="E1833" s="8"/>
      <c r="F1833" s="8"/>
      <c r="G1833" s="8"/>
      <c r="H1833" s="8"/>
      <c r="I1833" s="9"/>
      <c r="J1833" s="9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7"/>
      <c r="B1834" s="8"/>
      <c r="C1834" s="8"/>
      <c r="D1834" s="8"/>
      <c r="E1834" s="8"/>
      <c r="F1834" s="8"/>
      <c r="G1834" s="8"/>
      <c r="H1834" s="8"/>
      <c r="I1834" s="9"/>
      <c r="J1834" s="9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7"/>
      <c r="B1835" s="8"/>
      <c r="C1835" s="8"/>
      <c r="D1835" s="8"/>
      <c r="E1835" s="8"/>
      <c r="F1835" s="8"/>
      <c r="G1835" s="8"/>
      <c r="H1835" s="8"/>
      <c r="I1835" s="9"/>
      <c r="J1835" s="9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7"/>
      <c r="B1836" s="8"/>
      <c r="C1836" s="8"/>
      <c r="D1836" s="8"/>
      <c r="E1836" s="8"/>
      <c r="F1836" s="8"/>
      <c r="G1836" s="8"/>
      <c r="H1836" s="8"/>
      <c r="I1836" s="9"/>
      <c r="J1836" s="9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7"/>
      <c r="B1837" s="8"/>
      <c r="C1837" s="8"/>
      <c r="D1837" s="8"/>
      <c r="E1837" s="8"/>
      <c r="F1837" s="8"/>
      <c r="G1837" s="8"/>
      <c r="H1837" s="8"/>
      <c r="I1837" s="9"/>
      <c r="J1837" s="9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7"/>
      <c r="B1838" s="8"/>
      <c r="C1838" s="8"/>
      <c r="D1838" s="8"/>
      <c r="E1838" s="8"/>
      <c r="F1838" s="8"/>
      <c r="G1838" s="8"/>
      <c r="H1838" s="8"/>
      <c r="I1838" s="9"/>
      <c r="J1838" s="9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7"/>
      <c r="B1839" s="8"/>
      <c r="C1839" s="8"/>
      <c r="D1839" s="8"/>
      <c r="E1839" s="8"/>
      <c r="F1839" s="8"/>
      <c r="G1839" s="8"/>
      <c r="H1839" s="8"/>
      <c r="I1839" s="9"/>
      <c r="J1839" s="9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7"/>
      <c r="B1840" s="8"/>
      <c r="C1840" s="8"/>
      <c r="D1840" s="8"/>
      <c r="E1840" s="8"/>
      <c r="F1840" s="8"/>
      <c r="G1840" s="8"/>
      <c r="H1840" s="8"/>
      <c r="I1840" s="9"/>
      <c r="J1840" s="9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7"/>
      <c r="B1841" s="8"/>
      <c r="C1841" s="8"/>
      <c r="D1841" s="8"/>
      <c r="E1841" s="8"/>
      <c r="F1841" s="8"/>
      <c r="G1841" s="8"/>
      <c r="H1841" s="8"/>
      <c r="I1841" s="9"/>
      <c r="J1841" s="9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7"/>
      <c r="B1842" s="8"/>
      <c r="C1842" s="8"/>
      <c r="D1842" s="8"/>
      <c r="E1842" s="8"/>
      <c r="F1842" s="8"/>
      <c r="G1842" s="8"/>
      <c r="H1842" s="8"/>
      <c r="I1842" s="9"/>
      <c r="J1842" s="9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7"/>
      <c r="B1843" s="8"/>
      <c r="C1843" s="8"/>
      <c r="D1843" s="8"/>
      <c r="E1843" s="8"/>
      <c r="F1843" s="8"/>
      <c r="G1843" s="8"/>
      <c r="H1843" s="8"/>
      <c r="I1843" s="9"/>
      <c r="J1843" s="9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7"/>
      <c r="B1844" s="8"/>
      <c r="C1844" s="8"/>
      <c r="D1844" s="8"/>
      <c r="E1844" s="8"/>
      <c r="F1844" s="8"/>
      <c r="G1844" s="8"/>
      <c r="H1844" s="8"/>
      <c r="I1844" s="9"/>
      <c r="J1844" s="9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7"/>
      <c r="B1845" s="8"/>
      <c r="C1845" s="8"/>
      <c r="D1845" s="8"/>
      <c r="E1845" s="8"/>
      <c r="F1845" s="8"/>
      <c r="G1845" s="8"/>
      <c r="H1845" s="8"/>
      <c r="I1845" s="9"/>
      <c r="J1845" s="9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7"/>
      <c r="B1846" s="8"/>
      <c r="C1846" s="8"/>
      <c r="D1846" s="8"/>
      <c r="E1846" s="8"/>
      <c r="F1846" s="8"/>
      <c r="G1846" s="8"/>
      <c r="H1846" s="8"/>
      <c r="I1846" s="9"/>
      <c r="J1846" s="9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7"/>
      <c r="B1847" s="8"/>
      <c r="C1847" s="8"/>
      <c r="D1847" s="8"/>
      <c r="E1847" s="8"/>
      <c r="F1847" s="8"/>
      <c r="G1847" s="8"/>
      <c r="H1847" s="8"/>
      <c r="I1847" s="9"/>
      <c r="J1847" s="9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7"/>
      <c r="B1848" s="8"/>
      <c r="C1848" s="8"/>
      <c r="D1848" s="8"/>
      <c r="E1848" s="8"/>
      <c r="F1848" s="8"/>
      <c r="G1848" s="8"/>
      <c r="H1848" s="8"/>
      <c r="I1848" s="9"/>
      <c r="J1848" s="9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7"/>
      <c r="B1849" s="8"/>
      <c r="C1849" s="8"/>
      <c r="D1849" s="8"/>
      <c r="E1849" s="8"/>
      <c r="F1849" s="8"/>
      <c r="G1849" s="8"/>
      <c r="H1849" s="8"/>
      <c r="I1849" s="9"/>
      <c r="J1849" s="9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7"/>
      <c r="B1850" s="8"/>
      <c r="C1850" s="8"/>
      <c r="D1850" s="8"/>
      <c r="E1850" s="8"/>
      <c r="F1850" s="8"/>
      <c r="G1850" s="8"/>
      <c r="H1850" s="8"/>
      <c r="I1850" s="9"/>
      <c r="J1850" s="9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7"/>
      <c r="B1851" s="8"/>
      <c r="C1851" s="8"/>
      <c r="D1851" s="8"/>
      <c r="E1851" s="8"/>
      <c r="F1851" s="8"/>
      <c r="G1851" s="8"/>
      <c r="H1851" s="8"/>
      <c r="I1851" s="9"/>
      <c r="J1851" s="9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7"/>
      <c r="B1852" s="8"/>
      <c r="C1852" s="8"/>
      <c r="D1852" s="8"/>
      <c r="E1852" s="8"/>
      <c r="F1852" s="8"/>
      <c r="G1852" s="8"/>
      <c r="H1852" s="8"/>
      <c r="I1852" s="9"/>
      <c r="J1852" s="9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7"/>
      <c r="B1853" s="8"/>
      <c r="C1853" s="8"/>
      <c r="D1853" s="8"/>
      <c r="E1853" s="8"/>
      <c r="F1853" s="8"/>
      <c r="G1853" s="8"/>
      <c r="H1853" s="8"/>
      <c r="I1853" s="9"/>
      <c r="J1853" s="9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7"/>
      <c r="B1854" s="8"/>
      <c r="C1854" s="8"/>
      <c r="D1854" s="8"/>
      <c r="E1854" s="8"/>
      <c r="F1854" s="8"/>
      <c r="G1854" s="8"/>
      <c r="H1854" s="8"/>
      <c r="I1854" s="9"/>
      <c r="J1854" s="9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7"/>
      <c r="B1855" s="8"/>
      <c r="C1855" s="8"/>
      <c r="D1855" s="8"/>
      <c r="E1855" s="8"/>
      <c r="F1855" s="8"/>
      <c r="G1855" s="8"/>
      <c r="H1855" s="8"/>
      <c r="I1855" s="9"/>
      <c r="J1855" s="9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7"/>
      <c r="B1856" s="8"/>
      <c r="C1856" s="8"/>
      <c r="D1856" s="8"/>
      <c r="E1856" s="8"/>
      <c r="F1856" s="8"/>
      <c r="G1856" s="8"/>
      <c r="H1856" s="8"/>
      <c r="I1856" s="9"/>
      <c r="J1856" s="9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7"/>
      <c r="B1857" s="8"/>
      <c r="C1857" s="8"/>
      <c r="D1857" s="8"/>
      <c r="E1857" s="8"/>
      <c r="F1857" s="8"/>
      <c r="G1857" s="8"/>
      <c r="H1857" s="8"/>
      <c r="I1857" s="9"/>
      <c r="J1857" s="9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7"/>
      <c r="B1858" s="8"/>
      <c r="C1858" s="8"/>
      <c r="D1858" s="8"/>
      <c r="E1858" s="8"/>
      <c r="F1858" s="8"/>
      <c r="G1858" s="8"/>
      <c r="H1858" s="8"/>
      <c r="I1858" s="9"/>
      <c r="J1858" s="9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7"/>
      <c r="B1859" s="8"/>
      <c r="C1859" s="8"/>
      <c r="D1859" s="8"/>
      <c r="E1859" s="8"/>
      <c r="F1859" s="8"/>
      <c r="G1859" s="8"/>
      <c r="H1859" s="8"/>
      <c r="I1859" s="9"/>
      <c r="J1859" s="9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7"/>
      <c r="B1860" s="8"/>
      <c r="C1860" s="8"/>
      <c r="D1860" s="8"/>
      <c r="E1860" s="8"/>
      <c r="F1860" s="8"/>
      <c r="G1860" s="8"/>
      <c r="H1860" s="8"/>
      <c r="I1860" s="9"/>
      <c r="J1860" s="9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7"/>
      <c r="B1861" s="8"/>
      <c r="C1861" s="8"/>
      <c r="D1861" s="8"/>
      <c r="E1861" s="8"/>
      <c r="F1861" s="8"/>
      <c r="G1861" s="8"/>
      <c r="H1861" s="8"/>
      <c r="I1861" s="9"/>
      <c r="J1861" s="9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7"/>
      <c r="B1862" s="8"/>
      <c r="C1862" s="8"/>
      <c r="D1862" s="8"/>
      <c r="E1862" s="8"/>
      <c r="F1862" s="8"/>
      <c r="G1862" s="8"/>
      <c r="H1862" s="8"/>
      <c r="I1862" s="9"/>
      <c r="J1862" s="9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7"/>
      <c r="B1863" s="8"/>
      <c r="C1863" s="8"/>
      <c r="D1863" s="8"/>
      <c r="E1863" s="8"/>
      <c r="F1863" s="8"/>
      <c r="G1863" s="8"/>
      <c r="H1863" s="8"/>
      <c r="I1863" s="9"/>
      <c r="J1863" s="9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7"/>
      <c r="B1864" s="8"/>
      <c r="C1864" s="8"/>
      <c r="D1864" s="8"/>
      <c r="E1864" s="8"/>
      <c r="F1864" s="8"/>
      <c r="G1864" s="8"/>
      <c r="H1864" s="8"/>
      <c r="I1864" s="9"/>
      <c r="J1864" s="9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7"/>
      <c r="B1865" s="8"/>
      <c r="C1865" s="8"/>
      <c r="D1865" s="8"/>
      <c r="E1865" s="8"/>
      <c r="F1865" s="8"/>
      <c r="G1865" s="8"/>
      <c r="H1865" s="8"/>
      <c r="I1865" s="9"/>
      <c r="J1865" s="9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7"/>
      <c r="B1866" s="8"/>
      <c r="C1866" s="8"/>
      <c r="D1866" s="8"/>
      <c r="E1866" s="8"/>
      <c r="F1866" s="8"/>
      <c r="G1866" s="8"/>
      <c r="H1866" s="8"/>
      <c r="I1866" s="9"/>
      <c r="J1866" s="9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7"/>
      <c r="B1867" s="8"/>
      <c r="C1867" s="8"/>
      <c r="D1867" s="8"/>
      <c r="E1867" s="8"/>
      <c r="F1867" s="8"/>
      <c r="G1867" s="8"/>
      <c r="H1867" s="8"/>
      <c r="I1867" s="9"/>
      <c r="J1867" s="9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7"/>
      <c r="B1868" s="8"/>
      <c r="C1868" s="8"/>
      <c r="D1868" s="8"/>
      <c r="E1868" s="8"/>
      <c r="F1868" s="8"/>
      <c r="G1868" s="8"/>
      <c r="H1868" s="8"/>
      <c r="I1868" s="9"/>
      <c r="J1868" s="9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7"/>
      <c r="B1869" s="8"/>
      <c r="C1869" s="8"/>
      <c r="D1869" s="8"/>
      <c r="E1869" s="8"/>
      <c r="F1869" s="8"/>
      <c r="G1869" s="8"/>
      <c r="H1869" s="8"/>
      <c r="I1869" s="9"/>
      <c r="J1869" s="9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7"/>
      <c r="B1870" s="8"/>
      <c r="C1870" s="8"/>
      <c r="D1870" s="8"/>
      <c r="E1870" s="8"/>
      <c r="F1870" s="8"/>
      <c r="G1870" s="8"/>
      <c r="H1870" s="8"/>
      <c r="I1870" s="9"/>
      <c r="J1870" s="9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7"/>
      <c r="B1871" s="8"/>
      <c r="C1871" s="8"/>
      <c r="D1871" s="8"/>
      <c r="E1871" s="8"/>
      <c r="F1871" s="8"/>
      <c r="G1871" s="8"/>
      <c r="H1871" s="8"/>
      <c r="I1871" s="9"/>
      <c r="J1871" s="9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7"/>
      <c r="B1872" s="8"/>
      <c r="C1872" s="8"/>
      <c r="D1872" s="8"/>
      <c r="E1872" s="8"/>
      <c r="F1872" s="8"/>
      <c r="G1872" s="8"/>
      <c r="H1872" s="8"/>
      <c r="I1872" s="9"/>
      <c r="J1872" s="9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7"/>
      <c r="B1873" s="8"/>
      <c r="C1873" s="8"/>
      <c r="D1873" s="8"/>
      <c r="E1873" s="8"/>
      <c r="F1873" s="8"/>
      <c r="G1873" s="8"/>
      <c r="H1873" s="8"/>
      <c r="I1873" s="9"/>
      <c r="J1873" s="9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7"/>
      <c r="B1874" s="8"/>
      <c r="C1874" s="8"/>
      <c r="D1874" s="8"/>
      <c r="E1874" s="8"/>
      <c r="F1874" s="8"/>
      <c r="G1874" s="8"/>
      <c r="H1874" s="8"/>
      <c r="I1874" s="9"/>
      <c r="J1874" s="9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7"/>
      <c r="B1875" s="8"/>
      <c r="C1875" s="8"/>
      <c r="D1875" s="8"/>
      <c r="E1875" s="8"/>
      <c r="F1875" s="8"/>
      <c r="G1875" s="8"/>
      <c r="H1875" s="8"/>
      <c r="I1875" s="9"/>
      <c r="J1875" s="9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7"/>
      <c r="B1876" s="8"/>
      <c r="C1876" s="8"/>
      <c r="D1876" s="8"/>
      <c r="E1876" s="8"/>
      <c r="F1876" s="8"/>
      <c r="G1876" s="8"/>
      <c r="H1876" s="8"/>
      <c r="I1876" s="9"/>
      <c r="J1876" s="9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7"/>
      <c r="B1877" s="8"/>
      <c r="C1877" s="8"/>
      <c r="D1877" s="8"/>
      <c r="E1877" s="8"/>
      <c r="F1877" s="8"/>
      <c r="G1877" s="8"/>
      <c r="H1877" s="8"/>
      <c r="I1877" s="9"/>
      <c r="J1877" s="9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7"/>
      <c r="B1878" s="8"/>
      <c r="C1878" s="8"/>
      <c r="D1878" s="8"/>
      <c r="E1878" s="8"/>
      <c r="F1878" s="8"/>
      <c r="G1878" s="8"/>
      <c r="H1878" s="8"/>
      <c r="I1878" s="9"/>
      <c r="J1878" s="9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7"/>
      <c r="B1879" s="8"/>
      <c r="C1879" s="8"/>
      <c r="D1879" s="8"/>
      <c r="E1879" s="8"/>
      <c r="F1879" s="8"/>
      <c r="G1879" s="8"/>
      <c r="H1879" s="8"/>
      <c r="I1879" s="9"/>
      <c r="J1879" s="9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7"/>
      <c r="B1880" s="8"/>
      <c r="C1880" s="8"/>
      <c r="D1880" s="8"/>
      <c r="E1880" s="8"/>
      <c r="F1880" s="8"/>
      <c r="G1880" s="8"/>
      <c r="H1880" s="8"/>
      <c r="I1880" s="9"/>
      <c r="J1880" s="9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7"/>
      <c r="B1881" s="8"/>
      <c r="C1881" s="8"/>
      <c r="D1881" s="8"/>
      <c r="E1881" s="8"/>
      <c r="F1881" s="8"/>
      <c r="G1881" s="8"/>
      <c r="H1881" s="8"/>
      <c r="I1881" s="9"/>
      <c r="J1881" s="9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7"/>
      <c r="B1882" s="8"/>
      <c r="C1882" s="8"/>
      <c r="D1882" s="8"/>
      <c r="E1882" s="8"/>
      <c r="F1882" s="8"/>
      <c r="G1882" s="8"/>
      <c r="H1882" s="8"/>
      <c r="I1882" s="9"/>
      <c r="J1882" s="9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7"/>
      <c r="B1883" s="8"/>
      <c r="C1883" s="8"/>
      <c r="D1883" s="8"/>
      <c r="E1883" s="8"/>
      <c r="F1883" s="8"/>
      <c r="G1883" s="8"/>
      <c r="H1883" s="8"/>
      <c r="I1883" s="9"/>
      <c r="J1883" s="9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7"/>
      <c r="B1884" s="8"/>
      <c r="C1884" s="8"/>
      <c r="D1884" s="8"/>
      <c r="E1884" s="8"/>
      <c r="F1884" s="8"/>
      <c r="G1884" s="8"/>
      <c r="H1884" s="8"/>
      <c r="I1884" s="9"/>
      <c r="J1884" s="9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7"/>
      <c r="B1885" s="8"/>
      <c r="C1885" s="8"/>
      <c r="D1885" s="8"/>
      <c r="E1885" s="8"/>
      <c r="F1885" s="8"/>
      <c r="G1885" s="8"/>
      <c r="H1885" s="8"/>
      <c r="I1885" s="9"/>
      <c r="J1885" s="9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7"/>
      <c r="B1886" s="8"/>
      <c r="C1886" s="8"/>
      <c r="D1886" s="8"/>
      <c r="E1886" s="8"/>
      <c r="F1886" s="8"/>
      <c r="G1886" s="8"/>
      <c r="H1886" s="8"/>
      <c r="I1886" s="9"/>
      <c r="J1886" s="9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7"/>
      <c r="B1887" s="8"/>
      <c r="C1887" s="8"/>
      <c r="D1887" s="8"/>
      <c r="E1887" s="8"/>
      <c r="F1887" s="8"/>
      <c r="G1887" s="8"/>
      <c r="H1887" s="8"/>
      <c r="I1887" s="9"/>
      <c r="J1887" s="9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7"/>
      <c r="B1888" s="8"/>
      <c r="C1888" s="8"/>
      <c r="D1888" s="8"/>
      <c r="E1888" s="8"/>
      <c r="F1888" s="8"/>
      <c r="G1888" s="8"/>
      <c r="H1888" s="8"/>
      <c r="I1888" s="9"/>
      <c r="J1888" s="9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7"/>
      <c r="B1889" s="8"/>
      <c r="C1889" s="8"/>
      <c r="D1889" s="8"/>
      <c r="E1889" s="8"/>
      <c r="F1889" s="8"/>
      <c r="G1889" s="8"/>
      <c r="H1889" s="8"/>
      <c r="I1889" s="9"/>
      <c r="J1889" s="9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7"/>
      <c r="B1890" s="8"/>
      <c r="C1890" s="8"/>
      <c r="D1890" s="8"/>
      <c r="E1890" s="8"/>
      <c r="F1890" s="8"/>
      <c r="G1890" s="8"/>
      <c r="H1890" s="8"/>
      <c r="I1890" s="9"/>
      <c r="J1890" s="9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7"/>
      <c r="B1891" s="8"/>
      <c r="C1891" s="8"/>
      <c r="D1891" s="8"/>
      <c r="E1891" s="8"/>
      <c r="F1891" s="8"/>
      <c r="G1891" s="8"/>
      <c r="H1891" s="8"/>
      <c r="I1891" s="9"/>
      <c r="J1891" s="9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7"/>
      <c r="B1892" s="8"/>
      <c r="C1892" s="8"/>
      <c r="D1892" s="8"/>
      <c r="E1892" s="8"/>
      <c r="F1892" s="8"/>
      <c r="G1892" s="8"/>
      <c r="H1892" s="8"/>
      <c r="I1892" s="9"/>
      <c r="J1892" s="9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7"/>
      <c r="B1893" s="8"/>
      <c r="C1893" s="8"/>
      <c r="D1893" s="8"/>
      <c r="E1893" s="8"/>
      <c r="F1893" s="8"/>
      <c r="G1893" s="8"/>
      <c r="H1893" s="8"/>
      <c r="I1893" s="9"/>
      <c r="J1893" s="9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7"/>
      <c r="B1894" s="8"/>
      <c r="C1894" s="8"/>
      <c r="D1894" s="8"/>
      <c r="E1894" s="8"/>
      <c r="F1894" s="8"/>
      <c r="G1894" s="8"/>
      <c r="H1894" s="8"/>
      <c r="I1894" s="9"/>
      <c r="J1894" s="9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7"/>
      <c r="B1895" s="8"/>
      <c r="C1895" s="8"/>
      <c r="D1895" s="8"/>
      <c r="E1895" s="8"/>
      <c r="F1895" s="8"/>
      <c r="G1895" s="8"/>
      <c r="H1895" s="8"/>
      <c r="I1895" s="9"/>
      <c r="J1895" s="9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7"/>
      <c r="B1896" s="8"/>
      <c r="C1896" s="8"/>
      <c r="D1896" s="8"/>
      <c r="E1896" s="8"/>
      <c r="F1896" s="8"/>
      <c r="G1896" s="8"/>
      <c r="H1896" s="8"/>
      <c r="I1896" s="9"/>
      <c r="J1896" s="9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7"/>
      <c r="B1897" s="8"/>
      <c r="C1897" s="8"/>
      <c r="D1897" s="8"/>
      <c r="E1897" s="8"/>
      <c r="F1897" s="8"/>
      <c r="G1897" s="8"/>
      <c r="H1897" s="8"/>
      <c r="I1897" s="9"/>
      <c r="J1897" s="9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7"/>
      <c r="B1898" s="8"/>
      <c r="C1898" s="8"/>
      <c r="D1898" s="8"/>
      <c r="E1898" s="8"/>
      <c r="F1898" s="8"/>
      <c r="G1898" s="8"/>
      <c r="H1898" s="8"/>
      <c r="I1898" s="9"/>
      <c r="J1898" s="9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7"/>
      <c r="B1899" s="8"/>
      <c r="C1899" s="8"/>
      <c r="D1899" s="8"/>
      <c r="E1899" s="8"/>
      <c r="F1899" s="8"/>
      <c r="G1899" s="8"/>
      <c r="H1899" s="8"/>
      <c r="I1899" s="9"/>
      <c r="J1899" s="9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7"/>
      <c r="B1900" s="8"/>
      <c r="C1900" s="8"/>
      <c r="D1900" s="8"/>
      <c r="E1900" s="8"/>
      <c r="F1900" s="8"/>
      <c r="G1900" s="8"/>
      <c r="H1900" s="8"/>
      <c r="I1900" s="9"/>
      <c r="J1900" s="9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7"/>
      <c r="B1901" s="8"/>
      <c r="C1901" s="8"/>
      <c r="D1901" s="8"/>
      <c r="E1901" s="8"/>
      <c r="F1901" s="8"/>
      <c r="G1901" s="8"/>
      <c r="H1901" s="8"/>
      <c r="I1901" s="9"/>
      <c r="J1901" s="9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7"/>
      <c r="B1902" s="8"/>
      <c r="C1902" s="8"/>
      <c r="D1902" s="8"/>
      <c r="E1902" s="8"/>
      <c r="F1902" s="8"/>
      <c r="G1902" s="8"/>
      <c r="H1902" s="8"/>
      <c r="I1902" s="9"/>
      <c r="J1902" s="9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7"/>
      <c r="B1903" s="8"/>
      <c r="C1903" s="8"/>
      <c r="D1903" s="8"/>
      <c r="E1903" s="8"/>
      <c r="F1903" s="8"/>
      <c r="G1903" s="8"/>
      <c r="H1903" s="8"/>
      <c r="I1903" s="9"/>
      <c r="J1903" s="9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7"/>
      <c r="B1904" s="8"/>
      <c r="C1904" s="8"/>
      <c r="D1904" s="8"/>
      <c r="E1904" s="8"/>
      <c r="F1904" s="8"/>
      <c r="G1904" s="8"/>
      <c r="H1904" s="8"/>
      <c r="I1904" s="9"/>
      <c r="J1904" s="9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7"/>
      <c r="B1905" s="8"/>
      <c r="C1905" s="8"/>
      <c r="D1905" s="8"/>
      <c r="E1905" s="8"/>
      <c r="F1905" s="8"/>
      <c r="G1905" s="8"/>
      <c r="H1905" s="8"/>
      <c r="I1905" s="9"/>
      <c r="J1905" s="9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7"/>
      <c r="B1906" s="8"/>
      <c r="C1906" s="8"/>
      <c r="D1906" s="8"/>
      <c r="E1906" s="8"/>
      <c r="F1906" s="8"/>
      <c r="G1906" s="8"/>
      <c r="H1906" s="8"/>
      <c r="I1906" s="9"/>
      <c r="J1906" s="9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7"/>
      <c r="B1907" s="8"/>
      <c r="C1907" s="8"/>
      <c r="D1907" s="8"/>
      <c r="E1907" s="8"/>
      <c r="F1907" s="8"/>
      <c r="G1907" s="8"/>
      <c r="H1907" s="8"/>
      <c r="I1907" s="9"/>
      <c r="J1907" s="9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7"/>
      <c r="B1908" s="8"/>
      <c r="C1908" s="8"/>
      <c r="D1908" s="8"/>
      <c r="E1908" s="8"/>
      <c r="F1908" s="8"/>
      <c r="G1908" s="8"/>
      <c r="H1908" s="8"/>
      <c r="I1908" s="9"/>
      <c r="J1908" s="9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7"/>
      <c r="B1909" s="8"/>
      <c r="C1909" s="8"/>
      <c r="D1909" s="8"/>
      <c r="E1909" s="8"/>
      <c r="F1909" s="8"/>
      <c r="G1909" s="8"/>
      <c r="H1909" s="8"/>
      <c r="I1909" s="9"/>
      <c r="J1909" s="9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7"/>
      <c r="B1910" s="8"/>
      <c r="C1910" s="8"/>
      <c r="D1910" s="8"/>
      <c r="E1910" s="8"/>
      <c r="F1910" s="8"/>
      <c r="G1910" s="8"/>
      <c r="H1910" s="8"/>
      <c r="I1910" s="9"/>
      <c r="J1910" s="9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7"/>
      <c r="B1911" s="8"/>
      <c r="C1911" s="8"/>
      <c r="D1911" s="8"/>
      <c r="E1911" s="8"/>
      <c r="F1911" s="8"/>
      <c r="G1911" s="8"/>
      <c r="H1911" s="8"/>
      <c r="I1911" s="9"/>
      <c r="J1911" s="9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7"/>
      <c r="B1912" s="8"/>
      <c r="C1912" s="8"/>
      <c r="D1912" s="8"/>
      <c r="E1912" s="8"/>
      <c r="F1912" s="8"/>
      <c r="G1912" s="8"/>
      <c r="H1912" s="8"/>
      <c r="I1912" s="9"/>
      <c r="J1912" s="9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7"/>
      <c r="B1913" s="8"/>
      <c r="C1913" s="8"/>
      <c r="D1913" s="8"/>
      <c r="E1913" s="8"/>
      <c r="F1913" s="8"/>
      <c r="G1913" s="8"/>
      <c r="H1913" s="8"/>
      <c r="I1913" s="9"/>
      <c r="J1913" s="9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7"/>
      <c r="B1914" s="8"/>
      <c r="C1914" s="8"/>
      <c r="D1914" s="8"/>
      <c r="E1914" s="8"/>
      <c r="F1914" s="8"/>
      <c r="G1914" s="8"/>
      <c r="H1914" s="8"/>
      <c r="I1914" s="9"/>
      <c r="J1914" s="9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7"/>
      <c r="B1915" s="8"/>
      <c r="C1915" s="8"/>
      <c r="D1915" s="8"/>
      <c r="E1915" s="8"/>
      <c r="F1915" s="8"/>
      <c r="G1915" s="8"/>
      <c r="H1915" s="8"/>
      <c r="I1915" s="9"/>
      <c r="J1915" s="9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7"/>
      <c r="B1916" s="8"/>
      <c r="C1916" s="8"/>
      <c r="D1916" s="8"/>
      <c r="E1916" s="8"/>
      <c r="F1916" s="8"/>
      <c r="G1916" s="8"/>
      <c r="H1916" s="8"/>
      <c r="I1916" s="9"/>
      <c r="J1916" s="9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7"/>
      <c r="B1917" s="8"/>
      <c r="C1917" s="8"/>
      <c r="D1917" s="8"/>
      <c r="E1917" s="8"/>
      <c r="F1917" s="8"/>
      <c r="G1917" s="8"/>
      <c r="H1917" s="8"/>
      <c r="I1917" s="9"/>
      <c r="J1917" s="9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7"/>
      <c r="B1918" s="8"/>
      <c r="C1918" s="8"/>
      <c r="D1918" s="8"/>
      <c r="E1918" s="8"/>
      <c r="F1918" s="8"/>
      <c r="G1918" s="8"/>
      <c r="H1918" s="8"/>
      <c r="I1918" s="9"/>
      <c r="J1918" s="9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7"/>
      <c r="B1919" s="8"/>
      <c r="C1919" s="8"/>
      <c r="D1919" s="8"/>
      <c r="E1919" s="8"/>
      <c r="F1919" s="8"/>
      <c r="G1919" s="8"/>
      <c r="H1919" s="8"/>
      <c r="I1919" s="9"/>
      <c r="J1919" s="9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7"/>
      <c r="B1920" s="8"/>
      <c r="C1920" s="8"/>
      <c r="D1920" s="8"/>
      <c r="E1920" s="8"/>
      <c r="F1920" s="8"/>
      <c r="G1920" s="8"/>
      <c r="H1920" s="8"/>
      <c r="I1920" s="9"/>
      <c r="J1920" s="9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7"/>
      <c r="B1921" s="8"/>
      <c r="C1921" s="8"/>
      <c r="D1921" s="8"/>
      <c r="E1921" s="8"/>
      <c r="F1921" s="8"/>
      <c r="G1921" s="8"/>
      <c r="H1921" s="8"/>
      <c r="I1921" s="9"/>
      <c r="J1921" s="9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7"/>
      <c r="B1922" s="8"/>
      <c r="C1922" s="8"/>
      <c r="D1922" s="8"/>
      <c r="E1922" s="8"/>
      <c r="F1922" s="8"/>
      <c r="G1922" s="8"/>
      <c r="H1922" s="8"/>
      <c r="I1922" s="9"/>
      <c r="J1922" s="9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7"/>
      <c r="B1923" s="8"/>
      <c r="C1923" s="8"/>
      <c r="D1923" s="8"/>
      <c r="E1923" s="8"/>
      <c r="F1923" s="8"/>
      <c r="G1923" s="8"/>
      <c r="H1923" s="8"/>
      <c r="I1923" s="9"/>
      <c r="J1923" s="9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7"/>
      <c r="B1924" s="8"/>
      <c r="C1924" s="8"/>
      <c r="D1924" s="8"/>
      <c r="E1924" s="8"/>
      <c r="F1924" s="8"/>
      <c r="G1924" s="8"/>
      <c r="H1924" s="8"/>
      <c r="I1924" s="9"/>
      <c r="J1924" s="9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7"/>
      <c r="B1925" s="8"/>
      <c r="C1925" s="8"/>
      <c r="D1925" s="8"/>
      <c r="E1925" s="8"/>
      <c r="F1925" s="8"/>
      <c r="G1925" s="8"/>
      <c r="H1925" s="8"/>
      <c r="I1925" s="9"/>
      <c r="J1925" s="9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7"/>
      <c r="B1926" s="8"/>
      <c r="C1926" s="8"/>
      <c r="D1926" s="8"/>
      <c r="E1926" s="8"/>
      <c r="F1926" s="8"/>
      <c r="G1926" s="8"/>
      <c r="H1926" s="8"/>
      <c r="I1926" s="9"/>
      <c r="J1926" s="9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7"/>
      <c r="B1927" s="8"/>
      <c r="C1927" s="8"/>
      <c r="D1927" s="8"/>
      <c r="E1927" s="8"/>
      <c r="F1927" s="8"/>
      <c r="G1927" s="8"/>
      <c r="H1927" s="8"/>
      <c r="I1927" s="9"/>
      <c r="J1927" s="9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7"/>
      <c r="B1928" s="8"/>
      <c r="C1928" s="8"/>
      <c r="D1928" s="8"/>
      <c r="E1928" s="8"/>
      <c r="F1928" s="8"/>
      <c r="G1928" s="8"/>
      <c r="H1928" s="8"/>
      <c r="I1928" s="9"/>
      <c r="J1928" s="9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7"/>
      <c r="B1929" s="8"/>
      <c r="C1929" s="8"/>
      <c r="D1929" s="8"/>
      <c r="E1929" s="8"/>
      <c r="F1929" s="8"/>
      <c r="G1929" s="8"/>
      <c r="H1929" s="8"/>
      <c r="I1929" s="9"/>
      <c r="J1929" s="9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7"/>
      <c r="B1930" s="8"/>
      <c r="C1930" s="8"/>
      <c r="D1930" s="8"/>
      <c r="E1930" s="8"/>
      <c r="F1930" s="8"/>
      <c r="G1930" s="8"/>
      <c r="H1930" s="8"/>
      <c r="I1930" s="9"/>
      <c r="J1930" s="9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7"/>
      <c r="B1931" s="8"/>
      <c r="C1931" s="8"/>
      <c r="D1931" s="8"/>
      <c r="E1931" s="8"/>
      <c r="F1931" s="8"/>
      <c r="G1931" s="8"/>
      <c r="H1931" s="8"/>
      <c r="I1931" s="9"/>
      <c r="J1931" s="9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7"/>
      <c r="B1932" s="8"/>
      <c r="C1932" s="8"/>
      <c r="D1932" s="8"/>
      <c r="E1932" s="8"/>
      <c r="F1932" s="8"/>
      <c r="G1932" s="8"/>
      <c r="H1932" s="8"/>
      <c r="I1932" s="9"/>
      <c r="J1932" s="9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7"/>
      <c r="B1933" s="8"/>
      <c r="C1933" s="8"/>
      <c r="D1933" s="8"/>
      <c r="E1933" s="8"/>
      <c r="F1933" s="8"/>
      <c r="G1933" s="8"/>
      <c r="H1933" s="8"/>
      <c r="I1933" s="9"/>
      <c r="J1933" s="9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7"/>
      <c r="B1934" s="8"/>
      <c r="C1934" s="8"/>
      <c r="D1934" s="8"/>
      <c r="E1934" s="8"/>
      <c r="F1934" s="8"/>
      <c r="G1934" s="8"/>
      <c r="H1934" s="8"/>
      <c r="I1934" s="9"/>
      <c r="J1934" s="9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7"/>
      <c r="B1935" s="8"/>
      <c r="C1935" s="8"/>
      <c r="D1935" s="8"/>
      <c r="E1935" s="8"/>
      <c r="F1935" s="8"/>
      <c r="G1935" s="8"/>
      <c r="H1935" s="8"/>
      <c r="I1935" s="9"/>
      <c r="J1935" s="9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7"/>
      <c r="B1936" s="8"/>
      <c r="C1936" s="8"/>
      <c r="D1936" s="8"/>
      <c r="E1936" s="8"/>
      <c r="F1936" s="8"/>
      <c r="G1936" s="8"/>
      <c r="H1936" s="8"/>
      <c r="I1936" s="9"/>
      <c r="J1936" s="9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7"/>
      <c r="B1937" s="8"/>
      <c r="C1937" s="8"/>
      <c r="D1937" s="8"/>
      <c r="E1937" s="8"/>
      <c r="F1937" s="8"/>
      <c r="G1937" s="8"/>
      <c r="H1937" s="8"/>
      <c r="I1937" s="9"/>
      <c r="J1937" s="9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7"/>
      <c r="B1938" s="8"/>
      <c r="C1938" s="8"/>
      <c r="D1938" s="8"/>
      <c r="E1938" s="8"/>
      <c r="F1938" s="8"/>
      <c r="G1938" s="8"/>
      <c r="H1938" s="8"/>
      <c r="I1938" s="9"/>
      <c r="J1938" s="9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7"/>
      <c r="B1939" s="8"/>
      <c r="C1939" s="8"/>
      <c r="D1939" s="8"/>
      <c r="E1939" s="8"/>
      <c r="F1939" s="8"/>
      <c r="G1939" s="8"/>
      <c r="H1939" s="8"/>
      <c r="I1939" s="9"/>
      <c r="J1939" s="9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7"/>
      <c r="B1940" s="8"/>
      <c r="C1940" s="8"/>
      <c r="D1940" s="8"/>
      <c r="E1940" s="8"/>
      <c r="F1940" s="8"/>
      <c r="G1940" s="8"/>
      <c r="H1940" s="8"/>
      <c r="I1940" s="9"/>
      <c r="J1940" s="9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7"/>
      <c r="B1941" s="8"/>
      <c r="C1941" s="8"/>
      <c r="D1941" s="8"/>
      <c r="E1941" s="8"/>
      <c r="F1941" s="8"/>
      <c r="G1941" s="8"/>
      <c r="H1941" s="8"/>
      <c r="I1941" s="9"/>
      <c r="J1941" s="9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7"/>
      <c r="B1942" s="8"/>
      <c r="C1942" s="8"/>
      <c r="D1942" s="8"/>
      <c r="E1942" s="8"/>
      <c r="F1942" s="8"/>
      <c r="G1942" s="8"/>
      <c r="H1942" s="8"/>
      <c r="I1942" s="9"/>
      <c r="J1942" s="9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7"/>
      <c r="B1943" s="8"/>
      <c r="C1943" s="8"/>
      <c r="D1943" s="8"/>
      <c r="E1943" s="8"/>
      <c r="F1943" s="8"/>
      <c r="G1943" s="8"/>
      <c r="H1943" s="8"/>
      <c r="I1943" s="9"/>
      <c r="J1943" s="9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7"/>
      <c r="B1944" s="8"/>
      <c r="C1944" s="8"/>
      <c r="D1944" s="8"/>
      <c r="E1944" s="8"/>
      <c r="F1944" s="8"/>
      <c r="G1944" s="8"/>
      <c r="H1944" s="8"/>
      <c r="I1944" s="9"/>
      <c r="J1944" s="9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7"/>
      <c r="B1945" s="8"/>
      <c r="C1945" s="8"/>
      <c r="D1945" s="8"/>
      <c r="E1945" s="8"/>
      <c r="F1945" s="8"/>
      <c r="G1945" s="8"/>
      <c r="H1945" s="8"/>
      <c r="I1945" s="9"/>
      <c r="J1945" s="9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7"/>
      <c r="B1946" s="8"/>
      <c r="C1946" s="8"/>
      <c r="D1946" s="8"/>
      <c r="E1946" s="8"/>
      <c r="F1946" s="8"/>
      <c r="G1946" s="8"/>
      <c r="H1946" s="8"/>
      <c r="I1946" s="9"/>
      <c r="J1946" s="9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7"/>
      <c r="B1947" s="8"/>
      <c r="C1947" s="8"/>
      <c r="D1947" s="8"/>
      <c r="E1947" s="8"/>
      <c r="F1947" s="8"/>
      <c r="G1947" s="8"/>
      <c r="H1947" s="8"/>
      <c r="I1947" s="9"/>
      <c r="J1947" s="9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7"/>
      <c r="B1948" s="8"/>
      <c r="C1948" s="8"/>
      <c r="D1948" s="8"/>
      <c r="E1948" s="8"/>
      <c r="F1948" s="8"/>
      <c r="G1948" s="8"/>
      <c r="H1948" s="8"/>
      <c r="I1948" s="9"/>
      <c r="J1948" s="9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7"/>
      <c r="B1949" s="8"/>
      <c r="C1949" s="8"/>
      <c r="D1949" s="8"/>
      <c r="E1949" s="8"/>
      <c r="F1949" s="8"/>
      <c r="G1949" s="8"/>
      <c r="H1949" s="8"/>
      <c r="I1949" s="9"/>
      <c r="J1949" s="9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7"/>
      <c r="B1950" s="8"/>
      <c r="C1950" s="8"/>
      <c r="D1950" s="8"/>
      <c r="E1950" s="8"/>
      <c r="F1950" s="8"/>
      <c r="G1950" s="8"/>
      <c r="H1950" s="8"/>
      <c r="I1950" s="9"/>
      <c r="J1950" s="9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7"/>
      <c r="B1951" s="8"/>
      <c r="C1951" s="8"/>
      <c r="D1951" s="8"/>
      <c r="E1951" s="8"/>
      <c r="F1951" s="8"/>
      <c r="G1951" s="8"/>
      <c r="H1951" s="8"/>
      <c r="I1951" s="9"/>
      <c r="J1951" s="9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7"/>
      <c r="B1952" s="8"/>
      <c r="C1952" s="8"/>
      <c r="D1952" s="8"/>
      <c r="E1952" s="8"/>
      <c r="F1952" s="8"/>
      <c r="G1952" s="8"/>
      <c r="H1952" s="8"/>
      <c r="I1952" s="9"/>
      <c r="J1952" s="9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7"/>
      <c r="B1953" s="8"/>
      <c r="C1953" s="8"/>
      <c r="D1953" s="8"/>
      <c r="E1953" s="8"/>
      <c r="F1953" s="8"/>
      <c r="G1953" s="8"/>
      <c r="H1953" s="8"/>
      <c r="I1953" s="9"/>
      <c r="J1953" s="9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7"/>
      <c r="B1954" s="8"/>
      <c r="C1954" s="8"/>
      <c r="D1954" s="8"/>
      <c r="E1954" s="8"/>
      <c r="F1954" s="8"/>
      <c r="G1954" s="8"/>
      <c r="H1954" s="8"/>
      <c r="I1954" s="9"/>
      <c r="J1954" s="9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7"/>
      <c r="B1955" s="8"/>
      <c r="C1955" s="8"/>
      <c r="D1955" s="8"/>
      <c r="E1955" s="8"/>
      <c r="F1955" s="8"/>
      <c r="G1955" s="8"/>
      <c r="H1955" s="8"/>
      <c r="I1955" s="9"/>
      <c r="J1955" s="9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7"/>
      <c r="B1956" s="8"/>
      <c r="C1956" s="8"/>
      <c r="D1956" s="8"/>
      <c r="E1956" s="8"/>
      <c r="F1956" s="8"/>
      <c r="G1956" s="8"/>
      <c r="H1956" s="8"/>
      <c r="I1956" s="9"/>
      <c r="J1956" s="9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7"/>
      <c r="B1957" s="8"/>
      <c r="C1957" s="8"/>
      <c r="D1957" s="8"/>
      <c r="E1957" s="8"/>
      <c r="F1957" s="8"/>
      <c r="G1957" s="8"/>
      <c r="H1957" s="8"/>
      <c r="I1957" s="9"/>
      <c r="J1957" s="9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7"/>
      <c r="B1958" s="8"/>
      <c r="C1958" s="8"/>
      <c r="D1958" s="8"/>
      <c r="E1958" s="8"/>
      <c r="F1958" s="8"/>
      <c r="G1958" s="8"/>
      <c r="H1958" s="8"/>
      <c r="I1958" s="9"/>
      <c r="J1958" s="9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7"/>
      <c r="B1959" s="8"/>
      <c r="C1959" s="8"/>
      <c r="D1959" s="8"/>
      <c r="E1959" s="8"/>
      <c r="F1959" s="8"/>
      <c r="G1959" s="8"/>
      <c r="H1959" s="8"/>
      <c r="I1959" s="9"/>
      <c r="J1959" s="9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7"/>
      <c r="B1960" s="8"/>
      <c r="C1960" s="8"/>
      <c r="D1960" s="8"/>
      <c r="E1960" s="8"/>
      <c r="F1960" s="8"/>
      <c r="G1960" s="8"/>
      <c r="H1960" s="8"/>
      <c r="I1960" s="9"/>
      <c r="J1960" s="9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7"/>
      <c r="B1961" s="8"/>
      <c r="C1961" s="8"/>
      <c r="D1961" s="8"/>
      <c r="E1961" s="8"/>
      <c r="F1961" s="8"/>
      <c r="G1961" s="8"/>
      <c r="H1961" s="8"/>
      <c r="I1961" s="9"/>
      <c r="J1961" s="9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7"/>
      <c r="B1962" s="8"/>
      <c r="C1962" s="8"/>
      <c r="D1962" s="8"/>
      <c r="E1962" s="8"/>
      <c r="F1962" s="8"/>
      <c r="G1962" s="8"/>
      <c r="H1962" s="8"/>
      <c r="I1962" s="9"/>
      <c r="J1962" s="9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7"/>
      <c r="B1963" s="8"/>
      <c r="C1963" s="8"/>
      <c r="D1963" s="8"/>
      <c r="E1963" s="8"/>
      <c r="F1963" s="8"/>
      <c r="G1963" s="8"/>
      <c r="H1963" s="8"/>
      <c r="I1963" s="9"/>
      <c r="J1963" s="9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7"/>
      <c r="B1964" s="8"/>
      <c r="C1964" s="8"/>
      <c r="D1964" s="8"/>
      <c r="E1964" s="8"/>
      <c r="F1964" s="8"/>
      <c r="G1964" s="8"/>
      <c r="H1964" s="8"/>
      <c r="I1964" s="9"/>
      <c r="J1964" s="9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7"/>
      <c r="B1965" s="8"/>
      <c r="C1965" s="8"/>
      <c r="D1965" s="8"/>
      <c r="E1965" s="8"/>
      <c r="F1965" s="8"/>
      <c r="G1965" s="8"/>
      <c r="H1965" s="8"/>
      <c r="I1965" s="9"/>
      <c r="J1965" s="9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7"/>
      <c r="B1966" s="8"/>
      <c r="C1966" s="8"/>
      <c r="D1966" s="8"/>
      <c r="E1966" s="8"/>
      <c r="F1966" s="8"/>
      <c r="G1966" s="8"/>
      <c r="H1966" s="8"/>
      <c r="I1966" s="9"/>
      <c r="J1966" s="9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7"/>
      <c r="B1967" s="8"/>
      <c r="C1967" s="8"/>
      <c r="D1967" s="8"/>
      <c r="E1967" s="8"/>
      <c r="F1967" s="8"/>
      <c r="G1967" s="8"/>
      <c r="H1967" s="8"/>
      <c r="I1967" s="9"/>
      <c r="J1967" s="9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7"/>
      <c r="B1968" s="8"/>
      <c r="C1968" s="8"/>
      <c r="D1968" s="8"/>
      <c r="E1968" s="8"/>
      <c r="F1968" s="8"/>
      <c r="G1968" s="8"/>
      <c r="H1968" s="8"/>
      <c r="I1968" s="9"/>
      <c r="J1968" s="9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7"/>
      <c r="B1969" s="8"/>
      <c r="C1969" s="8"/>
      <c r="D1969" s="8"/>
      <c r="E1969" s="8"/>
      <c r="F1969" s="8"/>
      <c r="G1969" s="8"/>
      <c r="H1969" s="8"/>
      <c r="I1969" s="9"/>
      <c r="J1969" s="9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7"/>
      <c r="B1970" s="8"/>
      <c r="C1970" s="8"/>
      <c r="D1970" s="8"/>
      <c r="E1970" s="8"/>
      <c r="F1970" s="8"/>
      <c r="G1970" s="8"/>
      <c r="H1970" s="8"/>
      <c r="I1970" s="9"/>
      <c r="J1970" s="9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7"/>
      <c r="B1971" s="8"/>
      <c r="C1971" s="8"/>
      <c r="D1971" s="8"/>
      <c r="E1971" s="8"/>
      <c r="F1971" s="8"/>
      <c r="G1971" s="8"/>
      <c r="H1971" s="8"/>
      <c r="I1971" s="9"/>
      <c r="J1971" s="9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7"/>
      <c r="B1972" s="8"/>
      <c r="C1972" s="8"/>
      <c r="D1972" s="8"/>
      <c r="E1972" s="8"/>
      <c r="F1972" s="8"/>
      <c r="G1972" s="8"/>
      <c r="H1972" s="8"/>
      <c r="I1972" s="9"/>
      <c r="J1972" s="9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7"/>
      <c r="B1973" s="8"/>
      <c r="C1973" s="8"/>
      <c r="D1973" s="8"/>
      <c r="E1973" s="8"/>
      <c r="F1973" s="8"/>
      <c r="G1973" s="8"/>
      <c r="H1973" s="8"/>
      <c r="I1973" s="9"/>
      <c r="J1973" s="9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7"/>
      <c r="B1974" s="8"/>
      <c r="C1974" s="8"/>
      <c r="D1974" s="8"/>
      <c r="E1974" s="8"/>
      <c r="F1974" s="8"/>
      <c r="G1974" s="8"/>
      <c r="H1974" s="8"/>
      <c r="I1974" s="9"/>
      <c r="J1974" s="9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7"/>
      <c r="B1975" s="8"/>
      <c r="C1975" s="8"/>
      <c r="D1975" s="8"/>
      <c r="E1975" s="8"/>
      <c r="F1975" s="8"/>
      <c r="G1975" s="8"/>
      <c r="H1975" s="8"/>
      <c r="I1975" s="9"/>
      <c r="J1975" s="9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7"/>
      <c r="B1976" s="8"/>
      <c r="C1976" s="8"/>
      <c r="D1976" s="8"/>
      <c r="E1976" s="8"/>
      <c r="F1976" s="8"/>
      <c r="G1976" s="8"/>
      <c r="H1976" s="8"/>
      <c r="I1976" s="9"/>
      <c r="J1976" s="9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7"/>
      <c r="B1977" s="8"/>
      <c r="C1977" s="8"/>
      <c r="D1977" s="8"/>
      <c r="E1977" s="8"/>
      <c r="F1977" s="8"/>
      <c r="G1977" s="8"/>
      <c r="H1977" s="8"/>
      <c r="I1977" s="9"/>
      <c r="J1977" s="9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7"/>
      <c r="B1978" s="8"/>
      <c r="C1978" s="8"/>
      <c r="D1978" s="8"/>
      <c r="E1978" s="8"/>
      <c r="F1978" s="8"/>
      <c r="G1978" s="8"/>
      <c r="H1978" s="8"/>
      <c r="I1978" s="9"/>
      <c r="J1978" s="9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7"/>
      <c r="B1979" s="8"/>
      <c r="C1979" s="8"/>
      <c r="D1979" s="8"/>
      <c r="E1979" s="8"/>
      <c r="F1979" s="8"/>
      <c r="G1979" s="8"/>
      <c r="H1979" s="8"/>
      <c r="I1979" s="9"/>
      <c r="J1979" s="9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7"/>
      <c r="B1980" s="8"/>
      <c r="C1980" s="8"/>
      <c r="D1980" s="8"/>
      <c r="E1980" s="8"/>
      <c r="F1980" s="8"/>
      <c r="G1980" s="8"/>
      <c r="H1980" s="8"/>
      <c r="I1980" s="9"/>
      <c r="J1980" s="9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7"/>
      <c r="B1981" s="8"/>
      <c r="C1981" s="8"/>
      <c r="D1981" s="8"/>
      <c r="E1981" s="8"/>
      <c r="F1981" s="8"/>
      <c r="G1981" s="8"/>
      <c r="H1981" s="8"/>
      <c r="I1981" s="9"/>
      <c r="J1981" s="9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7"/>
      <c r="B1982" s="8"/>
      <c r="C1982" s="8"/>
      <c r="D1982" s="8"/>
      <c r="E1982" s="8"/>
      <c r="F1982" s="8"/>
      <c r="G1982" s="8"/>
      <c r="H1982" s="8"/>
      <c r="I1982" s="9"/>
      <c r="J1982" s="9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7"/>
      <c r="B1983" s="8"/>
      <c r="C1983" s="8"/>
      <c r="D1983" s="8"/>
      <c r="E1983" s="8"/>
      <c r="F1983" s="8"/>
      <c r="G1983" s="8"/>
      <c r="H1983" s="8"/>
      <c r="I1983" s="9"/>
      <c r="J1983" s="9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7"/>
      <c r="B1984" s="8"/>
      <c r="C1984" s="8"/>
      <c r="D1984" s="8"/>
      <c r="E1984" s="8"/>
      <c r="F1984" s="8"/>
      <c r="G1984" s="8"/>
      <c r="H1984" s="8"/>
      <c r="I1984" s="9"/>
      <c r="J1984" s="9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7"/>
      <c r="B1985" s="8"/>
      <c r="C1985" s="8"/>
      <c r="D1985" s="8"/>
      <c r="E1985" s="8"/>
      <c r="F1985" s="8"/>
      <c r="G1985" s="8"/>
      <c r="H1985" s="8"/>
      <c r="I1985" s="9"/>
      <c r="J1985" s="9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7"/>
      <c r="B1986" s="8"/>
      <c r="C1986" s="8"/>
      <c r="D1986" s="8"/>
      <c r="E1986" s="8"/>
      <c r="F1986" s="8"/>
      <c r="G1986" s="8"/>
      <c r="H1986" s="8"/>
      <c r="I1986" s="9"/>
      <c r="J1986" s="9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7"/>
      <c r="B1987" s="8"/>
      <c r="C1987" s="8"/>
      <c r="D1987" s="8"/>
      <c r="E1987" s="8"/>
      <c r="F1987" s="8"/>
      <c r="G1987" s="8"/>
      <c r="H1987" s="8"/>
      <c r="I1987" s="9"/>
      <c r="J1987" s="9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7"/>
      <c r="B1988" s="8"/>
      <c r="C1988" s="8"/>
      <c r="D1988" s="8"/>
      <c r="E1988" s="8"/>
      <c r="F1988" s="8"/>
      <c r="G1988" s="8"/>
      <c r="H1988" s="8"/>
      <c r="I1988" s="9"/>
      <c r="J1988" s="9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7"/>
      <c r="B1989" s="8"/>
      <c r="C1989" s="8"/>
      <c r="D1989" s="8"/>
      <c r="E1989" s="8"/>
      <c r="F1989" s="8"/>
      <c r="G1989" s="8"/>
      <c r="H1989" s="8"/>
      <c r="I1989" s="9"/>
      <c r="J1989" s="9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7"/>
      <c r="B1990" s="8"/>
      <c r="C1990" s="8"/>
      <c r="D1990" s="8"/>
      <c r="E1990" s="8"/>
      <c r="F1990" s="8"/>
      <c r="G1990" s="8"/>
      <c r="H1990" s="8"/>
      <c r="I1990" s="9"/>
      <c r="J1990" s="9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7"/>
      <c r="B1991" s="8"/>
      <c r="C1991" s="8"/>
      <c r="D1991" s="8"/>
      <c r="E1991" s="8"/>
      <c r="F1991" s="8"/>
      <c r="G1991" s="8"/>
      <c r="H1991" s="8"/>
      <c r="I1991" s="9"/>
      <c r="J1991" s="9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7"/>
      <c r="B1992" s="8"/>
      <c r="C1992" s="8"/>
      <c r="D1992" s="8"/>
      <c r="E1992" s="8"/>
      <c r="F1992" s="8"/>
      <c r="G1992" s="8"/>
      <c r="H1992" s="8"/>
      <c r="I1992" s="9"/>
      <c r="J1992" s="9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7"/>
      <c r="B1993" s="8"/>
      <c r="C1993" s="8"/>
      <c r="D1993" s="8"/>
      <c r="E1993" s="8"/>
      <c r="F1993" s="8"/>
      <c r="G1993" s="8"/>
      <c r="H1993" s="8"/>
      <c r="I1993" s="9"/>
      <c r="J1993" s="9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7"/>
      <c r="B1994" s="8"/>
      <c r="C1994" s="8"/>
      <c r="D1994" s="8"/>
      <c r="E1994" s="8"/>
      <c r="F1994" s="8"/>
      <c r="G1994" s="8"/>
      <c r="H1994" s="8"/>
      <c r="I1994" s="9"/>
      <c r="J1994" s="9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7"/>
      <c r="B1995" s="8"/>
      <c r="C1995" s="8"/>
      <c r="D1995" s="8"/>
      <c r="E1995" s="8"/>
      <c r="F1995" s="8"/>
      <c r="G1995" s="8"/>
      <c r="H1995" s="8"/>
      <c r="I1995" s="9"/>
      <c r="J1995" s="9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7"/>
      <c r="B1996" s="8"/>
      <c r="C1996" s="8"/>
      <c r="D1996" s="8"/>
      <c r="E1996" s="8"/>
      <c r="F1996" s="8"/>
      <c r="G1996" s="8"/>
      <c r="H1996" s="8"/>
      <c r="I1996" s="9"/>
      <c r="J1996" s="9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7"/>
      <c r="B1997" s="8"/>
      <c r="C1997" s="8"/>
      <c r="D1997" s="8"/>
      <c r="E1997" s="8"/>
      <c r="F1997" s="8"/>
      <c r="G1997" s="8"/>
      <c r="H1997" s="8"/>
      <c r="I1997" s="9"/>
      <c r="J1997" s="9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7"/>
      <c r="B1998" s="8"/>
      <c r="C1998" s="8"/>
      <c r="D1998" s="8"/>
      <c r="E1998" s="8"/>
      <c r="F1998" s="8"/>
      <c r="G1998" s="8"/>
      <c r="H1998" s="8"/>
      <c r="I1998" s="9"/>
      <c r="J1998" s="9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7"/>
      <c r="B1999" s="8"/>
      <c r="C1999" s="8"/>
      <c r="D1999" s="8"/>
      <c r="E1999" s="8"/>
      <c r="F1999" s="8"/>
      <c r="G1999" s="8"/>
      <c r="H1999" s="8"/>
      <c r="I1999" s="9"/>
      <c r="J1999" s="9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7"/>
      <c r="B2000" s="8"/>
      <c r="C2000" s="8"/>
      <c r="D2000" s="8"/>
      <c r="E2000" s="8"/>
      <c r="F2000" s="8"/>
      <c r="G2000" s="8"/>
      <c r="H2000" s="8"/>
      <c r="I2000" s="9"/>
      <c r="J2000" s="9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7"/>
      <c r="B2001" s="8"/>
      <c r="C2001" s="8"/>
      <c r="D2001" s="8"/>
      <c r="E2001" s="8"/>
      <c r="F2001" s="8"/>
      <c r="G2001" s="8"/>
      <c r="H2001" s="8"/>
      <c r="I2001" s="9"/>
      <c r="J2001" s="9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7"/>
      <c r="B2002" s="8"/>
      <c r="C2002" s="8"/>
      <c r="D2002" s="8"/>
      <c r="E2002" s="8"/>
      <c r="F2002" s="8"/>
      <c r="G2002" s="8"/>
      <c r="H2002" s="8"/>
      <c r="I2002" s="9"/>
      <c r="J2002" s="9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7"/>
      <c r="B2003" s="8"/>
      <c r="C2003" s="8"/>
      <c r="D2003" s="8"/>
      <c r="E2003" s="8"/>
      <c r="F2003" s="8"/>
      <c r="G2003" s="8"/>
      <c r="H2003" s="8"/>
      <c r="I2003" s="9"/>
      <c r="J2003" s="9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7"/>
      <c r="B2004" s="8"/>
      <c r="C2004" s="8"/>
      <c r="D2004" s="8"/>
      <c r="E2004" s="8"/>
      <c r="F2004" s="8"/>
      <c r="G2004" s="8"/>
      <c r="H2004" s="8"/>
      <c r="I2004" s="9"/>
      <c r="J2004" s="9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7"/>
      <c r="B2005" s="8"/>
      <c r="C2005" s="8"/>
      <c r="D2005" s="8"/>
      <c r="E2005" s="8"/>
      <c r="F2005" s="8"/>
      <c r="G2005" s="8"/>
      <c r="H2005" s="8"/>
      <c r="I2005" s="9"/>
      <c r="J2005" s="9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7"/>
      <c r="B2006" s="8"/>
      <c r="C2006" s="8"/>
      <c r="D2006" s="8"/>
      <c r="E2006" s="8"/>
      <c r="F2006" s="8"/>
      <c r="G2006" s="8"/>
      <c r="H2006" s="8"/>
      <c r="I2006" s="9"/>
      <c r="J2006" s="9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7"/>
      <c r="B2007" s="8"/>
      <c r="C2007" s="8"/>
      <c r="D2007" s="8"/>
      <c r="E2007" s="8"/>
      <c r="F2007" s="8"/>
      <c r="G2007" s="8"/>
      <c r="H2007" s="8"/>
      <c r="I2007" s="9"/>
      <c r="J2007" s="9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7"/>
      <c r="B2008" s="8"/>
      <c r="C2008" s="8"/>
      <c r="D2008" s="8"/>
      <c r="E2008" s="8"/>
      <c r="F2008" s="8"/>
      <c r="G2008" s="8"/>
      <c r="H2008" s="8"/>
      <c r="I2008" s="9"/>
      <c r="J2008" s="9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7"/>
      <c r="B2009" s="8"/>
      <c r="C2009" s="8"/>
      <c r="D2009" s="8"/>
      <c r="E2009" s="8"/>
      <c r="F2009" s="8"/>
      <c r="G2009" s="8"/>
      <c r="H2009" s="8"/>
      <c r="I2009" s="9"/>
      <c r="J2009" s="9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7"/>
      <c r="B2010" s="8"/>
      <c r="C2010" s="8"/>
      <c r="D2010" s="8"/>
      <c r="E2010" s="8"/>
      <c r="F2010" s="8"/>
      <c r="G2010" s="8"/>
      <c r="H2010" s="8"/>
      <c r="I2010" s="9"/>
      <c r="J2010" s="9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7"/>
      <c r="B2011" s="8"/>
      <c r="C2011" s="8"/>
      <c r="D2011" s="8"/>
      <c r="E2011" s="8"/>
      <c r="F2011" s="8"/>
      <c r="G2011" s="8"/>
      <c r="H2011" s="8"/>
      <c r="I2011" s="9"/>
      <c r="J2011" s="9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7"/>
      <c r="B2012" s="8"/>
      <c r="C2012" s="8"/>
      <c r="D2012" s="8"/>
      <c r="E2012" s="8"/>
      <c r="F2012" s="8"/>
      <c r="G2012" s="8"/>
      <c r="H2012" s="8"/>
      <c r="I2012" s="9"/>
      <c r="J2012" s="9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7"/>
      <c r="B2013" s="8"/>
      <c r="C2013" s="8"/>
      <c r="D2013" s="8"/>
      <c r="E2013" s="8"/>
      <c r="F2013" s="8"/>
      <c r="G2013" s="8"/>
      <c r="H2013" s="8"/>
      <c r="I2013" s="9"/>
      <c r="J2013" s="9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7"/>
      <c r="B2014" s="8"/>
      <c r="C2014" s="8"/>
      <c r="D2014" s="8"/>
      <c r="E2014" s="8"/>
      <c r="F2014" s="8"/>
      <c r="G2014" s="8"/>
      <c r="H2014" s="8"/>
      <c r="I2014" s="9"/>
      <c r="J2014" s="9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7"/>
      <c r="B2015" s="8"/>
      <c r="C2015" s="8"/>
      <c r="D2015" s="8"/>
      <c r="E2015" s="8"/>
      <c r="F2015" s="8"/>
      <c r="G2015" s="8"/>
      <c r="H2015" s="8"/>
      <c r="I2015" s="9"/>
      <c r="J2015" s="9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7"/>
      <c r="B2016" s="8"/>
      <c r="C2016" s="8"/>
      <c r="D2016" s="8"/>
      <c r="E2016" s="8"/>
      <c r="F2016" s="8"/>
      <c r="G2016" s="8"/>
      <c r="H2016" s="8"/>
      <c r="I2016" s="9"/>
      <c r="J2016" s="9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7"/>
      <c r="B2017" s="8"/>
      <c r="C2017" s="8"/>
      <c r="D2017" s="8"/>
      <c r="E2017" s="8"/>
      <c r="F2017" s="8"/>
      <c r="G2017" s="8"/>
      <c r="H2017" s="8"/>
      <c r="I2017" s="9"/>
      <c r="J2017" s="9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7"/>
      <c r="B2018" s="8"/>
      <c r="C2018" s="8"/>
      <c r="D2018" s="8"/>
      <c r="E2018" s="8"/>
      <c r="F2018" s="8"/>
      <c r="G2018" s="8"/>
      <c r="H2018" s="8"/>
      <c r="I2018" s="9"/>
      <c r="J2018" s="9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7"/>
      <c r="B2019" s="8"/>
      <c r="C2019" s="8"/>
      <c r="D2019" s="8"/>
      <c r="E2019" s="8"/>
      <c r="F2019" s="8"/>
      <c r="G2019" s="8"/>
      <c r="H2019" s="8"/>
      <c r="I2019" s="9"/>
      <c r="J2019" s="9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7"/>
      <c r="B2020" s="8"/>
      <c r="C2020" s="8"/>
      <c r="D2020" s="8"/>
      <c r="E2020" s="8"/>
      <c r="F2020" s="8"/>
      <c r="G2020" s="8"/>
      <c r="H2020" s="8"/>
      <c r="I2020" s="9"/>
      <c r="J2020" s="9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7"/>
      <c r="B2021" s="8"/>
      <c r="C2021" s="8"/>
      <c r="D2021" s="8"/>
      <c r="E2021" s="8"/>
      <c r="F2021" s="8"/>
      <c r="G2021" s="8"/>
      <c r="H2021" s="8"/>
      <c r="I2021" s="9"/>
      <c r="J2021" s="9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7"/>
      <c r="B2022" s="8"/>
      <c r="C2022" s="8"/>
      <c r="D2022" s="8"/>
      <c r="E2022" s="8"/>
      <c r="F2022" s="8"/>
      <c r="G2022" s="8"/>
      <c r="H2022" s="8"/>
      <c r="I2022" s="9"/>
      <c r="J2022" s="9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7"/>
      <c r="B2023" s="8"/>
      <c r="C2023" s="8"/>
      <c r="D2023" s="8"/>
      <c r="E2023" s="8"/>
      <c r="F2023" s="8"/>
      <c r="G2023" s="8"/>
      <c r="H2023" s="8"/>
      <c r="I2023" s="9"/>
      <c r="J2023" s="9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7"/>
      <c r="B2024" s="8"/>
      <c r="C2024" s="8"/>
      <c r="D2024" s="8"/>
      <c r="E2024" s="8"/>
      <c r="F2024" s="8"/>
      <c r="G2024" s="8"/>
      <c r="H2024" s="8"/>
      <c r="I2024" s="9"/>
      <c r="J2024" s="9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7"/>
      <c r="B2025" s="8"/>
      <c r="C2025" s="8"/>
      <c r="D2025" s="8"/>
      <c r="E2025" s="8"/>
      <c r="F2025" s="8"/>
      <c r="G2025" s="8"/>
      <c r="H2025" s="8"/>
      <c r="I2025" s="9"/>
      <c r="J2025" s="9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7"/>
      <c r="B2026" s="8"/>
      <c r="C2026" s="8"/>
      <c r="D2026" s="8"/>
      <c r="E2026" s="8"/>
      <c r="F2026" s="8"/>
      <c r="G2026" s="8"/>
      <c r="H2026" s="8"/>
      <c r="I2026" s="9"/>
      <c r="J2026" s="9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7"/>
      <c r="B2027" s="8"/>
      <c r="C2027" s="8"/>
      <c r="D2027" s="8"/>
      <c r="E2027" s="8"/>
      <c r="F2027" s="8"/>
      <c r="G2027" s="8"/>
      <c r="H2027" s="8"/>
      <c r="I2027" s="9"/>
      <c r="J2027" s="9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7"/>
      <c r="B2028" s="8"/>
      <c r="C2028" s="8"/>
      <c r="D2028" s="8"/>
      <c r="E2028" s="8"/>
      <c r="F2028" s="8"/>
      <c r="G2028" s="8"/>
      <c r="H2028" s="8"/>
      <c r="I2028" s="9"/>
      <c r="J2028" s="9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7"/>
      <c r="B2029" s="8"/>
      <c r="C2029" s="8"/>
      <c r="D2029" s="8"/>
      <c r="E2029" s="8"/>
      <c r="F2029" s="8"/>
      <c r="G2029" s="8"/>
      <c r="H2029" s="8"/>
      <c r="I2029" s="9"/>
      <c r="J2029" s="9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7"/>
      <c r="B2030" s="8"/>
      <c r="C2030" s="8"/>
      <c r="D2030" s="8"/>
      <c r="E2030" s="8"/>
      <c r="F2030" s="8"/>
      <c r="G2030" s="8"/>
      <c r="H2030" s="8"/>
      <c r="I2030" s="9"/>
      <c r="J2030" s="9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7"/>
      <c r="B2031" s="8"/>
      <c r="C2031" s="8"/>
      <c r="D2031" s="8"/>
      <c r="E2031" s="8"/>
      <c r="F2031" s="8"/>
      <c r="G2031" s="8"/>
      <c r="H2031" s="8"/>
      <c r="I2031" s="9"/>
      <c r="J2031" s="9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7"/>
      <c r="B2032" s="8"/>
      <c r="C2032" s="8"/>
      <c r="D2032" s="8"/>
      <c r="E2032" s="8"/>
      <c r="F2032" s="8"/>
      <c r="G2032" s="8"/>
      <c r="H2032" s="8"/>
      <c r="I2032" s="9"/>
      <c r="J2032" s="9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7"/>
      <c r="B2033" s="8"/>
      <c r="C2033" s="8"/>
      <c r="D2033" s="8"/>
      <c r="E2033" s="8"/>
      <c r="F2033" s="8"/>
      <c r="G2033" s="8"/>
      <c r="H2033" s="8"/>
      <c r="I2033" s="9"/>
      <c r="J2033" s="9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7"/>
      <c r="B2034" s="8"/>
      <c r="C2034" s="8"/>
      <c r="D2034" s="8"/>
      <c r="E2034" s="8"/>
      <c r="F2034" s="8"/>
      <c r="G2034" s="8"/>
      <c r="H2034" s="8"/>
      <c r="I2034" s="9"/>
      <c r="J2034" s="9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7"/>
      <c r="B2035" s="8"/>
      <c r="C2035" s="8"/>
      <c r="D2035" s="8"/>
      <c r="E2035" s="8"/>
      <c r="F2035" s="8"/>
      <c r="G2035" s="8"/>
      <c r="H2035" s="8"/>
      <c r="I2035" s="9"/>
      <c r="J2035" s="9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7"/>
      <c r="B2036" s="8"/>
      <c r="C2036" s="8"/>
      <c r="D2036" s="8"/>
      <c r="E2036" s="8"/>
      <c r="F2036" s="8"/>
      <c r="G2036" s="8"/>
      <c r="H2036" s="8"/>
      <c r="I2036" s="9"/>
      <c r="J2036" s="9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7"/>
      <c r="B2037" s="8"/>
      <c r="C2037" s="8"/>
      <c r="D2037" s="8"/>
      <c r="E2037" s="8"/>
      <c r="F2037" s="8"/>
      <c r="G2037" s="8"/>
      <c r="H2037" s="8"/>
      <c r="I2037" s="9"/>
      <c r="J2037" s="9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7"/>
      <c r="B2038" s="8"/>
      <c r="C2038" s="8"/>
      <c r="D2038" s="8"/>
      <c r="E2038" s="8"/>
      <c r="F2038" s="8"/>
      <c r="G2038" s="8"/>
      <c r="H2038" s="8"/>
      <c r="I2038" s="9"/>
      <c r="J2038" s="9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7"/>
      <c r="B2039" s="8"/>
      <c r="C2039" s="8"/>
      <c r="D2039" s="8"/>
      <c r="E2039" s="8"/>
      <c r="F2039" s="8"/>
      <c r="G2039" s="8"/>
      <c r="H2039" s="8"/>
      <c r="I2039" s="9"/>
      <c r="J2039" s="9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7"/>
      <c r="B2040" s="8"/>
      <c r="C2040" s="8"/>
      <c r="D2040" s="8"/>
      <c r="E2040" s="8"/>
      <c r="F2040" s="8"/>
      <c r="G2040" s="8"/>
      <c r="H2040" s="8"/>
      <c r="I2040" s="9"/>
      <c r="J2040" s="9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7"/>
      <c r="B2041" s="8"/>
      <c r="C2041" s="8"/>
      <c r="D2041" s="8"/>
      <c r="E2041" s="8"/>
      <c r="F2041" s="8"/>
      <c r="G2041" s="8"/>
      <c r="H2041" s="8"/>
      <c r="I2041" s="9"/>
      <c r="J2041" s="9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7"/>
      <c r="B2042" s="8"/>
      <c r="C2042" s="8"/>
      <c r="D2042" s="8"/>
      <c r="E2042" s="8"/>
      <c r="F2042" s="8"/>
      <c r="G2042" s="8"/>
      <c r="H2042" s="8"/>
      <c r="I2042" s="9"/>
      <c r="J2042" s="9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7"/>
      <c r="B2043" s="8"/>
      <c r="C2043" s="8"/>
      <c r="D2043" s="8"/>
      <c r="E2043" s="8"/>
      <c r="F2043" s="8"/>
      <c r="G2043" s="8"/>
      <c r="H2043" s="8"/>
      <c r="I2043" s="9"/>
      <c r="J2043" s="9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7"/>
      <c r="B2044" s="8"/>
      <c r="C2044" s="8"/>
      <c r="D2044" s="8"/>
      <c r="E2044" s="8"/>
      <c r="F2044" s="8"/>
      <c r="G2044" s="8"/>
      <c r="H2044" s="8"/>
      <c r="I2044" s="9"/>
      <c r="J2044" s="9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7"/>
      <c r="B2045" s="8"/>
      <c r="C2045" s="8"/>
      <c r="D2045" s="8"/>
      <c r="E2045" s="8"/>
      <c r="F2045" s="8"/>
      <c r="G2045" s="8"/>
      <c r="H2045" s="8"/>
      <c r="I2045" s="9"/>
      <c r="J2045" s="9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7"/>
      <c r="B2046" s="8"/>
      <c r="C2046" s="8"/>
      <c r="D2046" s="8"/>
      <c r="E2046" s="8"/>
      <c r="F2046" s="8"/>
      <c r="G2046" s="8"/>
      <c r="H2046" s="8"/>
      <c r="I2046" s="9"/>
      <c r="J2046" s="9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7"/>
      <c r="B2047" s="8"/>
      <c r="C2047" s="8"/>
      <c r="D2047" s="8"/>
      <c r="E2047" s="8"/>
      <c r="F2047" s="8"/>
      <c r="G2047" s="8"/>
      <c r="H2047" s="8"/>
      <c r="I2047" s="9"/>
      <c r="J2047" s="9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7"/>
      <c r="B2048" s="8"/>
      <c r="C2048" s="8"/>
      <c r="D2048" s="8"/>
      <c r="E2048" s="8"/>
      <c r="F2048" s="8"/>
      <c r="G2048" s="8"/>
      <c r="H2048" s="8"/>
      <c r="I2048" s="9"/>
      <c r="J2048" s="9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7"/>
      <c r="B2049" s="8"/>
      <c r="C2049" s="8"/>
      <c r="D2049" s="8"/>
      <c r="E2049" s="8"/>
      <c r="F2049" s="8"/>
      <c r="G2049" s="8"/>
      <c r="H2049" s="8"/>
      <c r="I2049" s="9"/>
      <c r="J2049" s="9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7"/>
      <c r="B2050" s="8"/>
      <c r="C2050" s="8"/>
      <c r="D2050" s="8"/>
      <c r="E2050" s="8"/>
      <c r="F2050" s="8"/>
      <c r="G2050" s="8"/>
      <c r="H2050" s="8"/>
      <c r="I2050" s="9"/>
      <c r="J2050" s="9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7"/>
      <c r="B2051" s="8"/>
      <c r="C2051" s="8"/>
      <c r="D2051" s="8"/>
      <c r="E2051" s="8"/>
      <c r="F2051" s="8"/>
      <c r="G2051" s="8"/>
      <c r="H2051" s="8"/>
      <c r="I2051" s="9"/>
      <c r="J2051" s="9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7"/>
      <c r="B2052" s="8"/>
      <c r="C2052" s="8"/>
      <c r="D2052" s="8"/>
      <c r="E2052" s="8"/>
      <c r="F2052" s="8"/>
      <c r="G2052" s="8"/>
      <c r="H2052" s="8"/>
      <c r="I2052" s="9"/>
      <c r="J2052" s="9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7"/>
      <c r="B2053" s="8"/>
      <c r="C2053" s="8"/>
      <c r="D2053" s="8"/>
      <c r="E2053" s="8"/>
      <c r="F2053" s="8"/>
      <c r="G2053" s="8"/>
      <c r="H2053" s="8"/>
      <c r="I2053" s="9"/>
      <c r="J2053" s="9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7"/>
      <c r="B2054" s="8"/>
      <c r="C2054" s="8"/>
      <c r="D2054" s="8"/>
      <c r="E2054" s="8"/>
      <c r="F2054" s="8"/>
      <c r="G2054" s="8"/>
      <c r="H2054" s="8"/>
      <c r="I2054" s="9"/>
      <c r="J2054" s="9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7"/>
      <c r="B2055" s="8"/>
      <c r="C2055" s="8"/>
      <c r="D2055" s="8"/>
      <c r="E2055" s="8"/>
      <c r="F2055" s="8"/>
      <c r="G2055" s="8"/>
      <c r="H2055" s="8"/>
      <c r="I2055" s="9"/>
      <c r="J2055" s="9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7"/>
      <c r="B2056" s="8"/>
      <c r="C2056" s="8"/>
      <c r="D2056" s="8"/>
      <c r="E2056" s="8"/>
      <c r="F2056" s="8"/>
      <c r="G2056" s="8"/>
      <c r="H2056" s="8"/>
      <c r="I2056" s="9"/>
      <c r="J2056" s="9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7"/>
      <c r="B2057" s="8"/>
      <c r="C2057" s="8"/>
      <c r="D2057" s="8"/>
      <c r="E2057" s="8"/>
      <c r="F2057" s="8"/>
      <c r="G2057" s="8"/>
      <c r="H2057" s="8"/>
      <c r="I2057" s="9"/>
      <c r="J2057" s="9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7"/>
      <c r="B2058" s="8"/>
      <c r="C2058" s="8"/>
      <c r="D2058" s="8"/>
      <c r="E2058" s="8"/>
      <c r="F2058" s="8"/>
      <c r="G2058" s="8"/>
      <c r="H2058" s="8"/>
      <c r="I2058" s="9"/>
      <c r="J2058" s="9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7"/>
      <c r="B2059" s="8"/>
      <c r="C2059" s="8"/>
      <c r="D2059" s="8"/>
      <c r="E2059" s="8"/>
      <c r="F2059" s="8"/>
      <c r="G2059" s="8"/>
      <c r="H2059" s="8"/>
      <c r="I2059" s="9"/>
      <c r="J2059" s="9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7"/>
      <c r="B2060" s="8"/>
      <c r="C2060" s="8"/>
      <c r="D2060" s="8"/>
      <c r="E2060" s="8"/>
      <c r="F2060" s="8"/>
      <c r="G2060" s="8"/>
      <c r="H2060" s="8"/>
      <c r="I2060" s="9"/>
      <c r="J2060" s="9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7"/>
      <c r="B2061" s="8"/>
      <c r="C2061" s="8"/>
      <c r="D2061" s="8"/>
      <c r="E2061" s="8"/>
      <c r="F2061" s="8"/>
      <c r="G2061" s="8"/>
      <c r="H2061" s="8"/>
      <c r="I2061" s="9"/>
      <c r="J2061" s="9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7"/>
      <c r="B2062" s="8"/>
      <c r="C2062" s="8"/>
      <c r="D2062" s="8"/>
      <c r="E2062" s="8"/>
      <c r="F2062" s="8"/>
      <c r="G2062" s="8"/>
      <c r="H2062" s="8"/>
      <c r="I2062" s="9"/>
      <c r="J2062" s="9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7"/>
      <c r="B2063" s="8"/>
      <c r="C2063" s="8"/>
      <c r="D2063" s="8"/>
      <c r="E2063" s="8"/>
      <c r="F2063" s="8"/>
      <c r="G2063" s="8"/>
      <c r="H2063" s="8"/>
      <c r="I2063" s="9"/>
      <c r="J2063" s="9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7"/>
      <c r="B2064" s="8"/>
      <c r="C2064" s="8"/>
      <c r="D2064" s="8"/>
      <c r="E2064" s="8"/>
      <c r="F2064" s="8"/>
      <c r="G2064" s="8"/>
      <c r="H2064" s="8"/>
      <c r="I2064" s="9"/>
      <c r="J2064" s="9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7"/>
      <c r="B2065" s="8"/>
      <c r="C2065" s="8"/>
      <c r="D2065" s="8"/>
      <c r="E2065" s="8"/>
      <c r="F2065" s="8"/>
      <c r="G2065" s="8"/>
      <c r="H2065" s="8"/>
      <c r="I2065" s="9"/>
      <c r="J2065" s="9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7"/>
      <c r="B2066" s="8"/>
      <c r="C2066" s="8"/>
      <c r="D2066" s="8"/>
      <c r="E2066" s="8"/>
      <c r="F2066" s="8"/>
      <c r="G2066" s="8"/>
      <c r="H2066" s="8"/>
      <c r="I2066" s="9"/>
      <c r="J2066" s="9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7"/>
      <c r="B2067" s="8"/>
      <c r="C2067" s="8"/>
      <c r="D2067" s="8"/>
      <c r="E2067" s="8"/>
      <c r="F2067" s="8"/>
      <c r="G2067" s="8"/>
      <c r="H2067" s="8"/>
      <c r="I2067" s="9"/>
      <c r="J2067" s="9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7"/>
      <c r="B2068" s="8"/>
      <c r="C2068" s="8"/>
      <c r="D2068" s="8"/>
      <c r="E2068" s="8"/>
      <c r="F2068" s="8"/>
      <c r="G2068" s="8"/>
      <c r="H2068" s="8"/>
      <c r="I2068" s="9"/>
      <c r="J2068" s="9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7"/>
      <c r="B2069" s="8"/>
      <c r="C2069" s="8"/>
      <c r="D2069" s="8"/>
      <c r="E2069" s="8"/>
      <c r="F2069" s="8"/>
      <c r="G2069" s="8"/>
      <c r="H2069" s="8"/>
      <c r="I2069" s="9"/>
      <c r="J2069" s="9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7"/>
      <c r="B2070" s="8"/>
      <c r="C2070" s="8"/>
      <c r="D2070" s="8"/>
      <c r="E2070" s="8"/>
      <c r="F2070" s="8"/>
      <c r="G2070" s="8"/>
      <c r="H2070" s="8"/>
      <c r="I2070" s="9"/>
      <c r="J2070" s="9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7"/>
      <c r="B2071" s="8"/>
      <c r="C2071" s="8"/>
      <c r="D2071" s="8"/>
      <c r="E2071" s="8"/>
      <c r="F2071" s="8"/>
      <c r="G2071" s="8"/>
      <c r="H2071" s="8"/>
      <c r="I2071" s="9"/>
      <c r="J2071" s="9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7"/>
      <c r="B2072" s="8"/>
      <c r="C2072" s="8"/>
      <c r="D2072" s="8"/>
      <c r="E2072" s="8"/>
      <c r="F2072" s="8"/>
      <c r="G2072" s="8"/>
      <c r="H2072" s="8"/>
      <c r="I2072" s="9"/>
      <c r="J2072" s="9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7"/>
      <c r="B2073" s="8"/>
      <c r="C2073" s="8"/>
      <c r="D2073" s="8"/>
      <c r="E2073" s="8"/>
      <c r="F2073" s="8"/>
      <c r="G2073" s="8"/>
      <c r="H2073" s="8"/>
      <c r="I2073" s="9"/>
      <c r="J2073" s="9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7"/>
      <c r="B2074" s="8"/>
      <c r="C2074" s="8"/>
      <c r="D2074" s="8"/>
      <c r="E2074" s="8"/>
      <c r="F2074" s="8"/>
      <c r="G2074" s="8"/>
      <c r="H2074" s="8"/>
      <c r="I2074" s="9"/>
      <c r="J2074" s="9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7"/>
      <c r="B2075" s="8"/>
      <c r="C2075" s="8"/>
      <c r="D2075" s="8"/>
      <c r="E2075" s="8"/>
      <c r="F2075" s="8"/>
      <c r="G2075" s="8"/>
      <c r="H2075" s="8"/>
      <c r="I2075" s="9"/>
      <c r="J2075" s="9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7"/>
      <c r="B2076" s="8"/>
      <c r="C2076" s="8"/>
      <c r="D2076" s="8"/>
      <c r="E2076" s="8"/>
      <c r="F2076" s="8"/>
      <c r="G2076" s="8"/>
      <c r="H2076" s="8"/>
      <c r="I2076" s="9"/>
      <c r="J2076" s="9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7"/>
      <c r="B2077" s="8"/>
      <c r="C2077" s="8"/>
      <c r="D2077" s="8"/>
      <c r="E2077" s="8"/>
      <c r="F2077" s="8"/>
      <c r="G2077" s="8"/>
      <c r="H2077" s="8"/>
      <c r="I2077" s="9"/>
      <c r="J2077" s="9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7"/>
      <c r="B2078" s="8"/>
      <c r="C2078" s="8"/>
      <c r="D2078" s="8"/>
      <c r="E2078" s="8"/>
      <c r="F2078" s="8"/>
      <c r="G2078" s="8"/>
      <c r="H2078" s="8"/>
      <c r="I2078" s="9"/>
      <c r="J2078" s="9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7"/>
      <c r="B2079" s="8"/>
      <c r="C2079" s="8"/>
      <c r="D2079" s="8"/>
      <c r="E2079" s="8"/>
      <c r="F2079" s="8"/>
      <c r="G2079" s="8"/>
      <c r="H2079" s="8"/>
      <c r="I2079" s="9"/>
      <c r="J2079" s="9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7"/>
      <c r="B2080" s="8"/>
      <c r="C2080" s="8"/>
      <c r="D2080" s="8"/>
      <c r="E2080" s="8"/>
      <c r="F2080" s="8"/>
      <c r="G2080" s="8"/>
      <c r="H2080" s="8"/>
      <c r="I2080" s="9"/>
      <c r="J2080" s="9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7"/>
      <c r="B2081" s="8"/>
      <c r="C2081" s="8"/>
      <c r="D2081" s="8"/>
      <c r="E2081" s="8"/>
      <c r="F2081" s="8"/>
      <c r="G2081" s="8"/>
      <c r="H2081" s="8"/>
      <c r="I2081" s="9"/>
      <c r="J2081" s="9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7"/>
      <c r="B2082" s="8"/>
      <c r="C2082" s="8"/>
      <c r="D2082" s="8"/>
      <c r="E2082" s="8"/>
      <c r="F2082" s="8"/>
      <c r="G2082" s="8"/>
      <c r="H2082" s="8"/>
      <c r="I2082" s="9"/>
      <c r="J2082" s="9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7"/>
      <c r="B2083" s="8"/>
      <c r="C2083" s="8"/>
      <c r="D2083" s="8"/>
      <c r="E2083" s="8"/>
      <c r="F2083" s="8"/>
      <c r="G2083" s="8"/>
      <c r="H2083" s="8"/>
      <c r="I2083" s="9"/>
      <c r="J2083" s="9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7"/>
      <c r="B2084" s="8"/>
      <c r="C2084" s="8"/>
      <c r="D2084" s="8"/>
      <c r="E2084" s="8"/>
      <c r="F2084" s="8"/>
      <c r="G2084" s="8"/>
      <c r="H2084" s="8"/>
      <c r="I2084" s="9"/>
      <c r="J2084" s="9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7"/>
      <c r="B2085" s="8"/>
      <c r="C2085" s="8"/>
      <c r="D2085" s="8"/>
      <c r="E2085" s="8"/>
      <c r="F2085" s="8"/>
      <c r="G2085" s="8"/>
      <c r="H2085" s="8"/>
      <c r="I2085" s="9"/>
      <c r="J2085" s="9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7"/>
      <c r="B2086" s="8"/>
      <c r="C2086" s="8"/>
      <c r="D2086" s="8"/>
      <c r="E2086" s="8"/>
      <c r="F2086" s="8"/>
      <c r="G2086" s="8"/>
      <c r="H2086" s="8"/>
      <c r="I2086" s="9"/>
      <c r="J2086" s="9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7"/>
      <c r="B2087" s="8"/>
      <c r="C2087" s="8"/>
      <c r="D2087" s="8"/>
      <c r="E2087" s="8"/>
      <c r="F2087" s="8"/>
      <c r="G2087" s="8"/>
      <c r="H2087" s="8"/>
      <c r="I2087" s="9"/>
      <c r="J2087" s="9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7"/>
      <c r="B2088" s="8"/>
      <c r="C2088" s="8"/>
      <c r="D2088" s="8"/>
      <c r="E2088" s="8"/>
      <c r="F2088" s="8"/>
      <c r="G2088" s="8"/>
      <c r="H2088" s="8"/>
      <c r="I2088" s="9"/>
      <c r="J2088" s="9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7"/>
      <c r="B2089" s="8"/>
      <c r="C2089" s="8"/>
      <c r="D2089" s="8"/>
      <c r="E2089" s="8"/>
      <c r="F2089" s="8"/>
      <c r="G2089" s="8"/>
      <c r="H2089" s="8"/>
      <c r="I2089" s="9"/>
      <c r="J2089" s="9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7"/>
      <c r="B2090" s="8"/>
      <c r="C2090" s="8"/>
      <c r="D2090" s="8"/>
      <c r="E2090" s="8"/>
      <c r="F2090" s="8"/>
      <c r="G2090" s="8"/>
      <c r="H2090" s="8"/>
      <c r="I2090" s="9"/>
      <c r="J2090" s="9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7"/>
      <c r="B2091" s="8"/>
      <c r="C2091" s="8"/>
      <c r="D2091" s="8"/>
      <c r="E2091" s="8"/>
      <c r="F2091" s="8"/>
      <c r="G2091" s="8"/>
      <c r="H2091" s="8"/>
      <c r="I2091" s="9"/>
      <c r="J2091" s="9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7"/>
      <c r="B2092" s="8"/>
      <c r="C2092" s="8"/>
      <c r="D2092" s="8"/>
      <c r="E2092" s="8"/>
      <c r="F2092" s="8"/>
      <c r="G2092" s="8"/>
      <c r="H2092" s="8"/>
      <c r="I2092" s="9"/>
      <c r="J2092" s="9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7"/>
      <c r="B2093" s="8"/>
      <c r="C2093" s="8"/>
      <c r="D2093" s="8"/>
      <c r="E2093" s="8"/>
      <c r="F2093" s="8"/>
      <c r="G2093" s="8"/>
      <c r="H2093" s="8"/>
      <c r="I2093" s="9"/>
      <c r="J2093" s="9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7"/>
      <c r="B2094" s="8"/>
      <c r="C2094" s="8"/>
      <c r="D2094" s="8"/>
      <c r="E2094" s="8"/>
      <c r="F2094" s="8"/>
      <c r="G2094" s="8"/>
      <c r="H2094" s="8"/>
      <c r="I2094" s="9"/>
      <c r="J2094" s="9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7"/>
      <c r="B2095" s="8"/>
      <c r="C2095" s="8"/>
      <c r="D2095" s="8"/>
      <c r="E2095" s="8"/>
      <c r="F2095" s="8"/>
      <c r="G2095" s="8"/>
      <c r="H2095" s="8"/>
      <c r="I2095" s="9"/>
      <c r="J2095" s="9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7"/>
      <c r="B2096" s="8"/>
      <c r="C2096" s="8"/>
      <c r="D2096" s="8"/>
      <c r="E2096" s="8"/>
      <c r="F2096" s="8"/>
      <c r="G2096" s="8"/>
      <c r="H2096" s="8"/>
      <c r="I2096" s="9"/>
      <c r="J2096" s="9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7"/>
      <c r="B2097" s="8"/>
      <c r="C2097" s="8"/>
      <c r="D2097" s="8"/>
      <c r="E2097" s="8"/>
      <c r="F2097" s="8"/>
      <c r="G2097" s="8"/>
      <c r="H2097" s="8"/>
      <c r="I2097" s="9"/>
      <c r="J2097" s="9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7"/>
      <c r="B2098" s="8"/>
      <c r="C2098" s="8"/>
      <c r="D2098" s="8"/>
      <c r="E2098" s="8"/>
      <c r="F2098" s="8"/>
      <c r="G2098" s="8"/>
      <c r="H2098" s="8"/>
      <c r="I2098" s="9"/>
      <c r="J2098" s="9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7"/>
      <c r="B2099" s="8"/>
      <c r="C2099" s="8"/>
      <c r="D2099" s="8"/>
      <c r="E2099" s="8"/>
      <c r="F2099" s="8"/>
      <c r="G2099" s="8"/>
      <c r="H2099" s="8"/>
      <c r="I2099" s="9"/>
      <c r="J2099" s="9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7"/>
      <c r="B2100" s="8"/>
      <c r="C2100" s="8"/>
      <c r="D2100" s="8"/>
      <c r="E2100" s="8"/>
      <c r="F2100" s="8"/>
      <c r="G2100" s="8"/>
      <c r="H2100" s="8"/>
      <c r="I2100" s="9"/>
      <c r="J2100" s="9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7"/>
      <c r="B2101" s="8"/>
      <c r="C2101" s="8"/>
      <c r="D2101" s="8"/>
      <c r="E2101" s="8"/>
      <c r="F2101" s="8"/>
      <c r="G2101" s="8"/>
      <c r="H2101" s="8"/>
      <c r="I2101" s="9"/>
      <c r="J2101" s="9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7"/>
      <c r="B2102" s="8"/>
      <c r="C2102" s="8"/>
      <c r="D2102" s="8"/>
      <c r="E2102" s="8"/>
      <c r="F2102" s="8"/>
      <c r="G2102" s="8"/>
      <c r="H2102" s="8"/>
      <c r="I2102" s="9"/>
      <c r="J2102" s="9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7"/>
      <c r="B2103" s="8"/>
      <c r="C2103" s="8"/>
      <c r="D2103" s="8"/>
      <c r="E2103" s="8"/>
      <c r="F2103" s="8"/>
      <c r="G2103" s="8"/>
      <c r="H2103" s="8"/>
      <c r="I2103" s="9"/>
      <c r="J2103" s="9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7"/>
      <c r="B2104" s="8"/>
      <c r="C2104" s="8"/>
      <c r="D2104" s="8"/>
      <c r="E2104" s="8"/>
      <c r="F2104" s="8"/>
      <c r="G2104" s="8"/>
      <c r="H2104" s="8"/>
      <c r="I2104" s="9"/>
      <c r="J2104" s="9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7"/>
      <c r="B2105" s="8"/>
      <c r="C2105" s="8"/>
      <c r="D2105" s="8"/>
      <c r="E2105" s="8"/>
      <c r="F2105" s="8"/>
      <c r="G2105" s="8"/>
      <c r="H2105" s="8"/>
      <c r="I2105" s="9"/>
      <c r="J2105" s="9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7"/>
      <c r="B2106" s="8"/>
      <c r="C2106" s="8"/>
      <c r="D2106" s="8"/>
      <c r="E2106" s="8"/>
      <c r="F2106" s="8"/>
      <c r="G2106" s="8"/>
      <c r="H2106" s="8"/>
      <c r="I2106" s="9"/>
      <c r="J2106" s="9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7"/>
      <c r="B2107" s="8"/>
      <c r="C2107" s="8"/>
      <c r="D2107" s="8"/>
      <c r="E2107" s="8"/>
      <c r="F2107" s="8"/>
      <c r="G2107" s="8"/>
      <c r="H2107" s="8"/>
      <c r="I2107" s="9"/>
      <c r="J2107" s="9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7"/>
      <c r="B2108" s="8"/>
      <c r="C2108" s="8"/>
      <c r="D2108" s="8"/>
      <c r="E2108" s="8"/>
      <c r="F2108" s="8"/>
      <c r="G2108" s="8"/>
      <c r="H2108" s="8"/>
      <c r="I2108" s="9"/>
      <c r="J2108" s="9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7"/>
      <c r="B2109" s="8"/>
      <c r="C2109" s="8"/>
      <c r="D2109" s="8"/>
      <c r="E2109" s="8"/>
      <c r="F2109" s="8"/>
      <c r="G2109" s="8"/>
      <c r="H2109" s="8"/>
      <c r="I2109" s="9"/>
      <c r="J2109" s="9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7"/>
      <c r="B2110" s="8"/>
      <c r="C2110" s="8"/>
      <c r="D2110" s="8"/>
      <c r="E2110" s="8"/>
      <c r="F2110" s="8"/>
      <c r="G2110" s="8"/>
      <c r="H2110" s="8"/>
      <c r="I2110" s="9"/>
      <c r="J2110" s="9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7"/>
      <c r="B2111" s="8"/>
      <c r="C2111" s="8"/>
      <c r="D2111" s="8"/>
      <c r="E2111" s="8"/>
      <c r="F2111" s="8"/>
      <c r="G2111" s="8"/>
      <c r="H2111" s="8"/>
      <c r="I2111" s="9"/>
      <c r="J2111" s="9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7"/>
      <c r="B2112" s="8"/>
      <c r="C2112" s="8"/>
      <c r="D2112" s="8"/>
      <c r="E2112" s="8"/>
      <c r="F2112" s="8"/>
      <c r="G2112" s="8"/>
      <c r="H2112" s="8"/>
      <c r="I2112" s="9"/>
      <c r="J2112" s="9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7"/>
      <c r="B2113" s="8"/>
      <c r="C2113" s="8"/>
      <c r="D2113" s="8"/>
      <c r="E2113" s="8"/>
      <c r="F2113" s="8"/>
      <c r="G2113" s="8"/>
      <c r="H2113" s="8"/>
      <c r="I2113" s="9"/>
      <c r="J2113" s="9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7"/>
      <c r="B2114" s="8"/>
      <c r="C2114" s="8"/>
      <c r="D2114" s="8"/>
      <c r="E2114" s="8"/>
      <c r="F2114" s="8"/>
      <c r="G2114" s="8"/>
      <c r="H2114" s="8"/>
      <c r="I2114" s="9"/>
      <c r="J2114" s="9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7"/>
      <c r="B2115" s="8"/>
      <c r="C2115" s="8"/>
      <c r="D2115" s="8"/>
      <c r="E2115" s="8"/>
      <c r="F2115" s="8"/>
      <c r="G2115" s="8"/>
      <c r="H2115" s="8"/>
      <c r="I2115" s="9"/>
      <c r="J2115" s="9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7"/>
      <c r="B2116" s="8"/>
      <c r="C2116" s="8"/>
      <c r="D2116" s="8"/>
      <c r="E2116" s="8"/>
      <c r="F2116" s="8"/>
      <c r="G2116" s="8"/>
      <c r="H2116" s="8"/>
      <c r="I2116" s="9"/>
      <c r="J2116" s="9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7"/>
      <c r="B2117" s="8"/>
      <c r="C2117" s="8"/>
      <c r="D2117" s="8"/>
      <c r="E2117" s="8"/>
      <c r="F2117" s="8"/>
      <c r="G2117" s="8"/>
      <c r="H2117" s="8"/>
      <c r="I2117" s="9"/>
      <c r="J2117" s="9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7"/>
      <c r="B2118" s="8"/>
      <c r="C2118" s="8"/>
      <c r="D2118" s="8"/>
      <c r="E2118" s="8"/>
      <c r="F2118" s="8"/>
      <c r="G2118" s="8"/>
      <c r="H2118" s="8"/>
      <c r="I2118" s="9"/>
      <c r="J2118" s="9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7"/>
      <c r="B2119" s="8"/>
      <c r="C2119" s="8"/>
      <c r="D2119" s="8"/>
      <c r="E2119" s="8"/>
      <c r="F2119" s="8"/>
      <c r="G2119" s="8"/>
      <c r="H2119" s="8"/>
      <c r="I2119" s="9"/>
      <c r="J2119" s="9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7"/>
      <c r="B2120" s="8"/>
      <c r="C2120" s="8"/>
      <c r="D2120" s="8"/>
      <c r="E2120" s="8"/>
      <c r="F2120" s="8"/>
      <c r="G2120" s="8"/>
      <c r="H2120" s="8"/>
      <c r="I2120" s="9"/>
      <c r="J2120" s="9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7"/>
      <c r="B2121" s="8"/>
      <c r="C2121" s="8"/>
      <c r="D2121" s="8"/>
      <c r="E2121" s="8"/>
      <c r="F2121" s="8"/>
      <c r="G2121" s="8"/>
      <c r="H2121" s="8"/>
      <c r="I2121" s="9"/>
      <c r="J2121" s="9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7"/>
      <c r="B2122" s="8"/>
      <c r="C2122" s="8"/>
      <c r="D2122" s="8"/>
      <c r="E2122" s="8"/>
      <c r="F2122" s="8"/>
      <c r="G2122" s="8"/>
      <c r="H2122" s="8"/>
      <c r="I2122" s="9"/>
      <c r="J2122" s="9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7"/>
      <c r="B2123" s="8"/>
      <c r="C2123" s="8"/>
      <c r="D2123" s="8"/>
      <c r="E2123" s="8"/>
      <c r="F2123" s="8"/>
      <c r="G2123" s="8"/>
      <c r="H2123" s="8"/>
      <c r="I2123" s="9"/>
      <c r="J2123" s="9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7"/>
      <c r="B2124" s="8"/>
      <c r="C2124" s="8"/>
      <c r="D2124" s="8"/>
      <c r="E2124" s="8"/>
      <c r="F2124" s="8"/>
      <c r="G2124" s="8"/>
      <c r="H2124" s="8"/>
      <c r="I2124" s="9"/>
      <c r="J2124" s="9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7"/>
      <c r="B2125" s="8"/>
      <c r="C2125" s="8"/>
      <c r="D2125" s="8"/>
      <c r="E2125" s="8"/>
      <c r="F2125" s="8"/>
      <c r="G2125" s="8"/>
      <c r="H2125" s="8"/>
      <c r="I2125" s="9"/>
      <c r="J2125" s="9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7"/>
      <c r="B2126" s="8"/>
      <c r="C2126" s="8"/>
      <c r="D2126" s="8"/>
      <c r="E2126" s="8"/>
      <c r="F2126" s="8"/>
      <c r="G2126" s="8"/>
      <c r="H2126" s="8"/>
      <c r="I2126" s="9"/>
      <c r="J2126" s="9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7"/>
      <c r="B2127" s="8"/>
      <c r="C2127" s="8"/>
      <c r="D2127" s="8"/>
      <c r="E2127" s="8"/>
      <c r="F2127" s="8"/>
      <c r="G2127" s="8"/>
      <c r="H2127" s="8"/>
      <c r="I2127" s="9"/>
      <c r="J2127" s="9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7"/>
      <c r="B2128" s="8"/>
      <c r="C2128" s="8"/>
      <c r="D2128" s="8"/>
      <c r="E2128" s="8"/>
      <c r="F2128" s="8"/>
      <c r="G2128" s="8"/>
      <c r="H2128" s="8"/>
      <c r="I2128" s="9"/>
      <c r="J2128" s="9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7"/>
      <c r="B2129" s="8"/>
      <c r="C2129" s="8"/>
      <c r="D2129" s="8"/>
      <c r="E2129" s="8"/>
      <c r="F2129" s="8"/>
      <c r="G2129" s="8"/>
      <c r="H2129" s="8"/>
      <c r="I2129" s="9"/>
      <c r="J2129" s="9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7"/>
      <c r="B2130" s="8"/>
      <c r="C2130" s="8"/>
      <c r="D2130" s="8"/>
      <c r="E2130" s="8"/>
      <c r="F2130" s="8"/>
      <c r="G2130" s="8"/>
      <c r="H2130" s="8"/>
      <c r="I2130" s="9"/>
      <c r="J2130" s="9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customHeight="1">
      <c r="A2131" s="7"/>
      <c r="B2131" s="8"/>
      <c r="C2131" s="8"/>
      <c r="D2131" s="8"/>
      <c r="E2131" s="8"/>
      <c r="F2131" s="8"/>
      <c r="G2131" s="8"/>
      <c r="H2131" s="8"/>
      <c r="I2131" s="9"/>
      <c r="J2131" s="9"/>
      <c r="K2131" s="18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customHeight="1">
      <c r="A2132" s="7"/>
      <c r="B2132" s="8"/>
      <c r="C2132" s="8"/>
      <c r="D2132" s="8"/>
      <c r="E2132" s="8"/>
      <c r="F2132" s="8"/>
      <c r="G2132" s="8"/>
      <c r="H2132" s="8"/>
      <c r="I2132" s="9"/>
      <c r="J2132" s="9"/>
      <c r="K2132" s="18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customHeight="1">
      <c r="A2133" s="7"/>
      <c r="B2133" s="8"/>
      <c r="C2133" s="8"/>
      <c r="D2133" s="8"/>
      <c r="E2133" s="8"/>
      <c r="F2133" s="8"/>
      <c r="G2133" s="8"/>
      <c r="H2133" s="8"/>
      <c r="I2133" s="9"/>
      <c r="J2133" s="9"/>
      <c r="K2133" s="18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4.25" customHeight="1">
      <c r="A2134" s="7"/>
      <c r="B2134" s="8"/>
      <c r="C2134" s="8"/>
      <c r="D2134" s="8"/>
      <c r="E2134" s="8"/>
      <c r="F2134" s="8"/>
      <c r="G2134" s="8"/>
      <c r="H2134" s="8"/>
      <c r="I2134" s="9"/>
      <c r="J2134" s="9"/>
      <c r="K2134" s="18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customHeight="1">
      <c r="A2135" s="7"/>
      <c r="B2135" s="8"/>
      <c r="C2135" s="8"/>
      <c r="D2135" s="8"/>
      <c r="E2135" s="8"/>
      <c r="F2135" s="8"/>
      <c r="G2135" s="8"/>
      <c r="H2135" s="8"/>
      <c r="I2135" s="9"/>
      <c r="J2135" s="9"/>
      <c r="K2135" s="18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customHeight="1">
      <c r="A2136" s="7"/>
      <c r="B2136" s="8"/>
      <c r="C2136" s="8"/>
      <c r="D2136" s="8"/>
      <c r="E2136" s="8"/>
      <c r="F2136" s="8"/>
      <c r="G2136" s="8"/>
      <c r="H2136" s="8"/>
      <c r="I2136" s="9"/>
      <c r="J2136" s="9"/>
      <c r="K2136" s="18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customHeight="1">
      <c r="A2137" s="7"/>
      <c r="B2137" s="8"/>
      <c r="C2137" s="8"/>
      <c r="D2137" s="8"/>
      <c r="E2137" s="8"/>
      <c r="F2137" s="8"/>
      <c r="G2137" s="8"/>
      <c r="H2137" s="8"/>
      <c r="I2137" s="9"/>
      <c r="J2137" s="9"/>
      <c r="K2137" s="18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4.25" customHeight="1">
      <c r="A2138" s="7"/>
      <c r="B2138" s="8"/>
      <c r="C2138" s="8"/>
      <c r="D2138" s="8"/>
      <c r="E2138" s="8"/>
      <c r="F2138" s="8"/>
      <c r="G2138" s="8"/>
      <c r="H2138" s="8"/>
      <c r="I2138" s="9"/>
      <c r="J2138" s="9"/>
      <c r="K2138" s="18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customHeight="1">
      <c r="A2139" s="7"/>
      <c r="B2139" s="8"/>
      <c r="C2139" s="8"/>
      <c r="D2139" s="8"/>
      <c r="E2139" s="8"/>
      <c r="F2139" s="8"/>
      <c r="G2139" s="8"/>
      <c r="H2139" s="8"/>
      <c r="I2139" s="9"/>
      <c r="J2139" s="9"/>
      <c r="K2139" s="18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4.25" customHeight="1">
      <c r="A2140" s="7"/>
      <c r="B2140" s="8"/>
      <c r="C2140" s="8"/>
      <c r="D2140" s="8"/>
      <c r="E2140" s="8"/>
      <c r="F2140" s="8"/>
      <c r="G2140" s="8"/>
      <c r="H2140" s="8"/>
      <c r="I2140" s="9"/>
      <c r="J2140" s="9"/>
      <c r="K2140" s="18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customHeight="1">
      <c r="A2141" s="7"/>
      <c r="B2141" s="8"/>
      <c r="C2141" s="8"/>
      <c r="D2141" s="8"/>
      <c r="E2141" s="8"/>
      <c r="F2141" s="8"/>
      <c r="G2141" s="8"/>
      <c r="H2141" s="8"/>
      <c r="I2141" s="9"/>
      <c r="J2141" s="9"/>
      <c r="K2141" s="18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customHeight="1">
      <c r="A2142" s="7"/>
      <c r="B2142" s="8"/>
      <c r="C2142" s="8"/>
      <c r="D2142" s="8"/>
      <c r="E2142" s="8"/>
      <c r="F2142" s="8"/>
      <c r="G2142" s="8"/>
      <c r="H2142" s="8"/>
      <c r="I2142" s="9"/>
      <c r="J2142" s="9"/>
      <c r="K2142" s="18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customHeight="1">
      <c r="A2143" s="7"/>
      <c r="B2143" s="8"/>
      <c r="C2143" s="8"/>
      <c r="D2143" s="8"/>
      <c r="E2143" s="8"/>
      <c r="F2143" s="8"/>
      <c r="G2143" s="8"/>
      <c r="H2143" s="8"/>
      <c r="I2143" s="9"/>
      <c r="J2143" s="9"/>
      <c r="K2143" s="18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customHeight="1">
      <c r="A2144" s="7"/>
      <c r="B2144" s="8"/>
      <c r="C2144" s="8"/>
      <c r="D2144" s="8"/>
      <c r="E2144" s="8"/>
      <c r="F2144" s="8"/>
      <c r="G2144" s="8"/>
      <c r="H2144" s="8"/>
      <c r="I2144" s="9"/>
      <c r="J2144" s="9"/>
      <c r="K2144" s="18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customHeight="1">
      <c r="A2145" s="7"/>
      <c r="B2145" s="8"/>
      <c r="C2145" s="8"/>
      <c r="D2145" s="8"/>
      <c r="E2145" s="8"/>
      <c r="F2145" s="8"/>
      <c r="G2145" s="8"/>
      <c r="H2145" s="8"/>
      <c r="I2145" s="9"/>
      <c r="J2145" s="9"/>
      <c r="K2145" s="18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customHeight="1">
      <c r="A2146" s="7"/>
      <c r="B2146" s="8"/>
      <c r="C2146" s="8"/>
      <c r="D2146" s="8"/>
      <c r="E2146" s="8"/>
      <c r="F2146" s="8"/>
      <c r="G2146" s="8"/>
      <c r="H2146" s="8"/>
      <c r="I2146" s="9"/>
      <c r="J2146" s="9"/>
      <c r="K2146" s="18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4.25" customHeight="1">
      <c r="A2147" s="7"/>
      <c r="B2147" s="8"/>
      <c r="C2147" s="8"/>
      <c r="D2147" s="8"/>
      <c r="E2147" s="8"/>
      <c r="F2147" s="8"/>
      <c r="G2147" s="8"/>
      <c r="H2147" s="8"/>
      <c r="I2147" s="9"/>
      <c r="J2147" s="9"/>
      <c r="K2147" s="18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customHeight="1">
      <c r="A2148" s="7"/>
      <c r="B2148" s="8"/>
      <c r="C2148" s="8"/>
      <c r="D2148" s="8"/>
      <c r="E2148" s="8"/>
      <c r="F2148" s="8"/>
      <c r="G2148" s="8"/>
      <c r="H2148" s="8"/>
      <c r="I2148" s="9"/>
      <c r="J2148" s="9"/>
      <c r="K2148" s="18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customHeight="1">
      <c r="A2149" s="7"/>
      <c r="B2149" s="8"/>
      <c r="C2149" s="8"/>
      <c r="D2149" s="8"/>
      <c r="E2149" s="8"/>
      <c r="F2149" s="8"/>
      <c r="G2149" s="8"/>
      <c r="H2149" s="8"/>
      <c r="I2149" s="9"/>
      <c r="J2149" s="9"/>
      <c r="K2149" s="18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customHeight="1">
      <c r="A2150" s="7"/>
      <c r="B2150" s="8"/>
      <c r="C2150" s="8"/>
      <c r="D2150" s="8"/>
      <c r="E2150" s="8"/>
      <c r="F2150" s="8"/>
      <c r="G2150" s="8"/>
      <c r="H2150" s="8"/>
      <c r="I2150" s="9"/>
      <c r="J2150" s="9"/>
      <c r="K2150" s="18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customHeight="1">
      <c r="A2151" s="7"/>
      <c r="B2151" s="8"/>
      <c r="C2151" s="8"/>
      <c r="D2151" s="8"/>
      <c r="E2151" s="8"/>
      <c r="F2151" s="8"/>
      <c r="G2151" s="8"/>
      <c r="H2151" s="8"/>
      <c r="I2151" s="9"/>
      <c r="J2151" s="9"/>
      <c r="K2151" s="18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customHeight="1">
      <c r="A2152" s="7"/>
      <c r="B2152" s="8"/>
      <c r="C2152" s="8"/>
      <c r="D2152" s="8"/>
      <c r="E2152" s="8"/>
      <c r="F2152" s="8"/>
      <c r="G2152" s="8"/>
      <c r="H2152" s="8"/>
      <c r="I2152" s="9"/>
      <c r="J2152" s="9"/>
      <c r="K2152" s="18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customHeight="1">
      <c r="A2153" s="7"/>
      <c r="B2153" s="8"/>
      <c r="C2153" s="8"/>
      <c r="D2153" s="8"/>
      <c r="E2153" s="8"/>
      <c r="F2153" s="8"/>
      <c r="G2153" s="8"/>
      <c r="H2153" s="8"/>
      <c r="I2153" s="9"/>
      <c r="J2153" s="9"/>
      <c r="K2153" s="18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4.25" customHeight="1">
      <c r="A2154" s="7"/>
      <c r="B2154" s="8"/>
      <c r="C2154" s="8"/>
      <c r="D2154" s="8"/>
      <c r="E2154" s="8"/>
      <c r="F2154" s="8"/>
      <c r="G2154" s="8"/>
      <c r="H2154" s="8"/>
      <c r="I2154" s="9"/>
      <c r="J2154" s="9"/>
      <c r="K2154" s="18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customHeight="1">
      <c r="A2155" s="7"/>
      <c r="B2155" s="8"/>
      <c r="C2155" s="8"/>
      <c r="D2155" s="8"/>
      <c r="E2155" s="8"/>
      <c r="F2155" s="8"/>
      <c r="G2155" s="8"/>
      <c r="H2155" s="8"/>
      <c r="I2155" s="9"/>
      <c r="J2155" s="9"/>
      <c r="K2155" s="18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4.25" customHeight="1">
      <c r="A2156" s="7"/>
      <c r="B2156" s="8"/>
      <c r="C2156" s="8"/>
      <c r="D2156" s="8"/>
      <c r="E2156" s="8"/>
      <c r="F2156" s="8"/>
      <c r="G2156" s="8"/>
      <c r="H2156" s="8"/>
      <c r="I2156" s="9"/>
      <c r="J2156" s="9"/>
      <c r="K2156" s="18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customHeight="1">
      <c r="A2157" s="7"/>
      <c r="B2157" s="8"/>
      <c r="C2157" s="8"/>
      <c r="D2157" s="8"/>
      <c r="E2157" s="8"/>
      <c r="F2157" s="8"/>
      <c r="G2157" s="8"/>
      <c r="H2157" s="8"/>
      <c r="I2157" s="9"/>
      <c r="J2157" s="9"/>
      <c r="K2157" s="18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customHeight="1">
      <c r="A2158" s="7"/>
      <c r="B2158" s="8"/>
      <c r="C2158" s="8"/>
      <c r="D2158" s="8"/>
      <c r="E2158" s="8"/>
      <c r="F2158" s="8"/>
      <c r="G2158" s="8"/>
      <c r="H2158" s="8"/>
      <c r="I2158" s="9"/>
      <c r="J2158" s="9"/>
      <c r="K2158" s="18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customHeight="1">
      <c r="A2159" s="7"/>
      <c r="B2159" s="8"/>
      <c r="C2159" s="8"/>
      <c r="D2159" s="8"/>
      <c r="E2159" s="8"/>
      <c r="F2159" s="8"/>
      <c r="G2159" s="8"/>
      <c r="H2159" s="8"/>
      <c r="I2159" s="9"/>
      <c r="J2159" s="9"/>
      <c r="K2159" s="18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customHeight="1">
      <c r="A2160" s="7"/>
      <c r="B2160" s="8"/>
      <c r="C2160" s="8"/>
      <c r="D2160" s="8"/>
      <c r="E2160" s="8"/>
      <c r="F2160" s="8"/>
      <c r="G2160" s="8"/>
      <c r="H2160" s="8"/>
      <c r="I2160" s="9"/>
      <c r="J2160" s="9"/>
      <c r="K2160" s="18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customHeight="1">
      <c r="A2161" s="7"/>
      <c r="B2161" s="8"/>
      <c r="C2161" s="8"/>
      <c r="D2161" s="8"/>
      <c r="E2161" s="8"/>
      <c r="F2161" s="8"/>
      <c r="G2161" s="8"/>
      <c r="H2161" s="8"/>
      <c r="I2161" s="9"/>
      <c r="J2161" s="9"/>
      <c r="K2161" s="18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4.25" customHeight="1">
      <c r="A2162" s="7"/>
      <c r="B2162" s="8"/>
      <c r="C2162" s="8"/>
      <c r="D2162" s="8"/>
      <c r="E2162" s="8"/>
      <c r="F2162" s="8"/>
      <c r="G2162" s="8"/>
      <c r="H2162" s="8"/>
      <c r="I2162" s="9"/>
      <c r="J2162" s="9"/>
      <c r="K2162" s="18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customHeight="1">
      <c r="A2163" s="7"/>
      <c r="B2163" s="8"/>
      <c r="C2163" s="8"/>
      <c r="D2163" s="8"/>
      <c r="E2163" s="8"/>
      <c r="F2163" s="8"/>
      <c r="G2163" s="8"/>
      <c r="H2163" s="8"/>
      <c r="I2163" s="9"/>
      <c r="J2163" s="9"/>
      <c r="K2163" s="18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customHeight="1">
      <c r="A2164" s="7"/>
      <c r="B2164" s="8"/>
      <c r="C2164" s="8"/>
      <c r="D2164" s="8"/>
      <c r="E2164" s="8"/>
      <c r="F2164" s="8"/>
      <c r="G2164" s="8"/>
      <c r="H2164" s="8"/>
      <c r="I2164" s="9"/>
      <c r="J2164" s="9"/>
      <c r="K2164" s="18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customHeight="1">
      <c r="A2165" s="7"/>
      <c r="B2165" s="8"/>
      <c r="C2165" s="8"/>
      <c r="D2165" s="8"/>
      <c r="E2165" s="8"/>
      <c r="F2165" s="8"/>
      <c r="G2165" s="8"/>
      <c r="H2165" s="8"/>
      <c r="I2165" s="9"/>
      <c r="J2165" s="9"/>
      <c r="K2165" s="18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customHeight="1">
      <c r="A2166" s="7"/>
      <c r="B2166" s="8"/>
      <c r="C2166" s="8"/>
      <c r="D2166" s="8"/>
      <c r="E2166" s="8"/>
      <c r="F2166" s="8"/>
      <c r="G2166" s="8"/>
      <c r="H2166" s="8"/>
      <c r="I2166" s="9"/>
      <c r="J2166" s="9"/>
      <c r="K2166" s="18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customHeight="1">
      <c r="A2167" s="7"/>
      <c r="B2167" s="8"/>
      <c r="C2167" s="8"/>
      <c r="D2167" s="8"/>
      <c r="E2167" s="8"/>
      <c r="F2167" s="8"/>
      <c r="G2167" s="8"/>
      <c r="H2167" s="8"/>
      <c r="I2167" s="9"/>
      <c r="J2167" s="9"/>
      <c r="K2167" s="18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4.25" customHeight="1">
      <c r="A2168" s="7"/>
      <c r="B2168" s="8"/>
      <c r="C2168" s="8"/>
      <c r="D2168" s="8"/>
      <c r="E2168" s="8"/>
      <c r="F2168" s="8"/>
      <c r="G2168" s="8"/>
      <c r="H2168" s="8"/>
      <c r="I2168" s="9"/>
      <c r="J2168" s="9"/>
      <c r="K2168" s="18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customHeight="1">
      <c r="A2169" s="7"/>
      <c r="B2169" s="8"/>
      <c r="C2169" s="8"/>
      <c r="D2169" s="8"/>
      <c r="E2169" s="8"/>
      <c r="F2169" s="8"/>
      <c r="G2169" s="8"/>
      <c r="H2169" s="8"/>
      <c r="I2169" s="9"/>
      <c r="J2169" s="9"/>
      <c r="K2169" s="18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customHeight="1">
      <c r="A2170" s="7"/>
      <c r="B2170" s="8"/>
      <c r="C2170" s="8"/>
      <c r="D2170" s="8"/>
      <c r="E2170" s="8"/>
      <c r="F2170" s="8"/>
      <c r="G2170" s="8"/>
      <c r="H2170" s="8"/>
      <c r="I2170" s="9"/>
      <c r="J2170" s="9"/>
      <c r="K2170" s="18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customHeight="1">
      <c r="A2171" s="7"/>
      <c r="B2171" s="8"/>
      <c r="C2171" s="8"/>
      <c r="D2171" s="8"/>
      <c r="E2171" s="8"/>
      <c r="F2171" s="8"/>
      <c r="G2171" s="8"/>
      <c r="H2171" s="8"/>
      <c r="I2171" s="9"/>
      <c r="J2171" s="9"/>
      <c r="K2171" s="18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customHeight="1">
      <c r="A2172" s="7"/>
      <c r="B2172" s="8"/>
      <c r="C2172" s="8"/>
      <c r="D2172" s="8"/>
      <c r="E2172" s="8"/>
      <c r="F2172" s="8"/>
      <c r="G2172" s="8"/>
      <c r="H2172" s="8"/>
      <c r="I2172" s="9"/>
      <c r="J2172" s="9"/>
      <c r="K2172" s="18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4.25" customHeight="1">
      <c r="A2173" s="7"/>
      <c r="B2173" s="8"/>
      <c r="C2173" s="8"/>
      <c r="D2173" s="8"/>
      <c r="E2173" s="8"/>
      <c r="F2173" s="8"/>
      <c r="G2173" s="8"/>
      <c r="H2173" s="8"/>
      <c r="I2173" s="9"/>
      <c r="J2173" s="9"/>
      <c r="K2173" s="18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customHeight="1">
      <c r="A2174" s="7"/>
      <c r="B2174" s="8"/>
      <c r="C2174" s="8"/>
      <c r="D2174" s="8"/>
      <c r="E2174" s="8"/>
      <c r="F2174" s="8"/>
      <c r="G2174" s="8"/>
      <c r="H2174" s="8"/>
      <c r="I2174" s="9"/>
      <c r="J2174" s="9"/>
      <c r="K2174" s="18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4.25" customHeight="1">
      <c r="A2175" s="7"/>
      <c r="B2175" s="8"/>
      <c r="C2175" s="8"/>
      <c r="D2175" s="8"/>
      <c r="E2175" s="8"/>
      <c r="F2175" s="8"/>
      <c r="G2175" s="8"/>
      <c r="H2175" s="8"/>
      <c r="I2175" s="9"/>
      <c r="J2175" s="9"/>
      <c r="K2175" s="18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customHeight="1">
      <c r="A2176" s="7"/>
      <c r="B2176" s="8"/>
      <c r="C2176" s="8"/>
      <c r="D2176" s="8"/>
      <c r="E2176" s="8"/>
      <c r="F2176" s="8"/>
      <c r="G2176" s="8"/>
      <c r="H2176" s="8"/>
      <c r="I2176" s="9"/>
      <c r="J2176" s="9"/>
      <c r="K2176" s="18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customHeight="1">
      <c r="A2177" s="7"/>
      <c r="B2177" s="8"/>
      <c r="C2177" s="8"/>
      <c r="D2177" s="8"/>
      <c r="E2177" s="8"/>
      <c r="F2177" s="8"/>
      <c r="G2177" s="8"/>
      <c r="H2177" s="8"/>
      <c r="I2177" s="9"/>
      <c r="J2177" s="9"/>
      <c r="K2177" s="18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4.25" customHeight="1">
      <c r="A2178" s="7"/>
      <c r="B2178" s="8"/>
      <c r="C2178" s="8"/>
      <c r="D2178" s="8"/>
      <c r="E2178" s="8"/>
      <c r="F2178" s="8"/>
      <c r="G2178" s="8"/>
      <c r="H2178" s="8"/>
      <c r="I2178" s="9"/>
      <c r="J2178" s="9"/>
      <c r="K2178" s="18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customHeight="1">
      <c r="A2179" s="7"/>
      <c r="B2179" s="8"/>
      <c r="C2179" s="8"/>
      <c r="D2179" s="8"/>
      <c r="E2179" s="8"/>
      <c r="F2179" s="8"/>
      <c r="G2179" s="8"/>
      <c r="H2179" s="8"/>
      <c r="I2179" s="9"/>
      <c r="J2179" s="9"/>
      <c r="K2179" s="18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customHeight="1">
      <c r="A2180" s="7"/>
      <c r="B2180" s="8"/>
      <c r="C2180" s="8"/>
      <c r="D2180" s="8"/>
      <c r="E2180" s="8"/>
      <c r="F2180" s="8"/>
      <c r="G2180" s="8"/>
      <c r="H2180" s="8"/>
      <c r="I2180" s="9"/>
      <c r="J2180" s="9"/>
      <c r="K2180" s="18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customHeight="1">
      <c r="A2181" s="7"/>
      <c r="B2181" s="8"/>
      <c r="C2181" s="8"/>
      <c r="D2181" s="8"/>
      <c r="E2181" s="8"/>
      <c r="F2181" s="8"/>
      <c r="G2181" s="8"/>
      <c r="H2181" s="8"/>
      <c r="I2181" s="9"/>
      <c r="J2181" s="9"/>
      <c r="K2181" s="18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customHeight="1">
      <c r="A2182" s="7"/>
      <c r="B2182" s="8"/>
      <c r="C2182" s="8"/>
      <c r="D2182" s="8"/>
      <c r="E2182" s="8"/>
      <c r="F2182" s="8"/>
      <c r="G2182" s="8"/>
      <c r="H2182" s="8"/>
      <c r="I2182" s="9"/>
      <c r="J2182" s="9"/>
      <c r="K2182" s="18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customHeight="1">
      <c r="A2183" s="7"/>
      <c r="B2183" s="8"/>
      <c r="C2183" s="8"/>
      <c r="D2183" s="8"/>
      <c r="E2183" s="8"/>
      <c r="F2183" s="8"/>
      <c r="G2183" s="8"/>
      <c r="H2183" s="8"/>
      <c r="I2183" s="9"/>
      <c r="J2183" s="9"/>
      <c r="K2183" s="18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customHeight="1">
      <c r="A2184" s="7"/>
      <c r="B2184" s="8"/>
      <c r="C2184" s="8"/>
      <c r="D2184" s="8"/>
      <c r="E2184" s="8"/>
      <c r="F2184" s="8"/>
      <c r="G2184" s="8"/>
      <c r="H2184" s="8"/>
      <c r="I2184" s="9"/>
      <c r="J2184" s="9"/>
      <c r="K2184" s="18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4.25" customHeight="1">
      <c r="A2185" s="7"/>
      <c r="B2185" s="8"/>
      <c r="C2185" s="8"/>
      <c r="D2185" s="8"/>
      <c r="E2185" s="8"/>
      <c r="F2185" s="8"/>
      <c r="G2185" s="8"/>
      <c r="H2185" s="8"/>
      <c r="I2185" s="9"/>
      <c r="J2185" s="9"/>
      <c r="K2185" s="18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customHeight="1">
      <c r="A2186" s="7"/>
      <c r="B2186" s="8"/>
      <c r="C2186" s="8"/>
      <c r="D2186" s="8"/>
      <c r="E2186" s="8"/>
      <c r="F2186" s="8"/>
      <c r="G2186" s="8"/>
      <c r="H2186" s="8"/>
      <c r="I2186" s="9"/>
      <c r="J2186" s="9"/>
      <c r="K2186" s="18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customHeight="1">
      <c r="A2187" s="7"/>
      <c r="B2187" s="8"/>
      <c r="C2187" s="8"/>
      <c r="D2187" s="8"/>
      <c r="E2187" s="8"/>
      <c r="F2187" s="8"/>
      <c r="G2187" s="8"/>
      <c r="H2187" s="8"/>
      <c r="I2187" s="9"/>
      <c r="J2187" s="9"/>
      <c r="K2187" s="18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customHeight="1">
      <c r="A2188" s="7"/>
      <c r="B2188" s="8"/>
      <c r="C2188" s="8"/>
      <c r="D2188" s="8"/>
      <c r="E2188" s="8"/>
      <c r="F2188" s="8"/>
      <c r="G2188" s="8"/>
      <c r="H2188" s="8"/>
      <c r="I2188" s="9"/>
      <c r="J2188" s="9"/>
      <c r="K2188" s="18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4.25" customHeight="1">
      <c r="A2189" s="7"/>
      <c r="B2189" s="8"/>
      <c r="C2189" s="8"/>
      <c r="D2189" s="8"/>
      <c r="E2189" s="8"/>
      <c r="F2189" s="8"/>
      <c r="G2189" s="8"/>
      <c r="H2189" s="8"/>
      <c r="I2189" s="9"/>
      <c r="J2189" s="9"/>
      <c r="K2189" s="18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customHeight="1">
      <c r="A2190" s="7"/>
      <c r="B2190" s="8"/>
      <c r="C2190" s="8"/>
      <c r="D2190" s="8"/>
      <c r="E2190" s="8"/>
      <c r="F2190" s="8"/>
      <c r="G2190" s="8"/>
      <c r="H2190" s="8"/>
      <c r="I2190" s="9"/>
      <c r="J2190" s="9"/>
      <c r="K2190" s="18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customHeight="1">
      <c r="A2191" s="7"/>
      <c r="B2191" s="8"/>
      <c r="C2191" s="8"/>
      <c r="D2191" s="8"/>
      <c r="E2191" s="8"/>
      <c r="F2191" s="8"/>
      <c r="G2191" s="8"/>
      <c r="H2191" s="8"/>
      <c r="I2191" s="9"/>
      <c r="J2191" s="9"/>
      <c r="K2191" s="18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customHeight="1">
      <c r="A2192" s="7"/>
      <c r="B2192" s="8"/>
      <c r="C2192" s="8"/>
      <c r="D2192" s="8"/>
      <c r="E2192" s="8"/>
      <c r="F2192" s="8"/>
      <c r="G2192" s="8"/>
      <c r="H2192" s="8"/>
      <c r="I2192" s="9"/>
      <c r="J2192" s="9"/>
      <c r="K2192" s="18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customHeight="1">
      <c r="A2193" s="7"/>
      <c r="B2193" s="8"/>
      <c r="C2193" s="8"/>
      <c r="D2193" s="8"/>
      <c r="E2193" s="8"/>
      <c r="F2193" s="8"/>
      <c r="G2193" s="8"/>
      <c r="H2193" s="8"/>
      <c r="I2193" s="9"/>
      <c r="J2193" s="9"/>
      <c r="K2193" s="18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customHeight="1">
      <c r="A2194" s="7"/>
      <c r="B2194" s="8"/>
      <c r="C2194" s="8"/>
      <c r="D2194" s="8"/>
      <c r="E2194" s="8"/>
      <c r="F2194" s="8"/>
      <c r="G2194" s="8"/>
      <c r="H2194" s="8"/>
      <c r="I2194" s="9"/>
      <c r="J2194" s="9"/>
      <c r="K2194" s="18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customHeight="1">
      <c r="A2195" s="7"/>
      <c r="B2195" s="8"/>
      <c r="C2195" s="8"/>
      <c r="D2195" s="8"/>
      <c r="E2195" s="8"/>
      <c r="F2195" s="8"/>
      <c r="G2195" s="8"/>
      <c r="H2195" s="8"/>
      <c r="I2195" s="9"/>
      <c r="J2195" s="9"/>
      <c r="K2195" s="18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4.25" customHeight="1">
      <c r="A2196" s="7"/>
      <c r="B2196" s="8"/>
      <c r="C2196" s="8"/>
      <c r="D2196" s="8"/>
      <c r="E2196" s="8"/>
      <c r="F2196" s="8"/>
      <c r="G2196" s="8"/>
      <c r="H2196" s="8"/>
      <c r="I2196" s="9"/>
      <c r="J2196" s="9"/>
      <c r="K2196" s="18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customHeight="1">
      <c r="A2197" s="7"/>
      <c r="B2197" s="8"/>
      <c r="C2197" s="8"/>
      <c r="D2197" s="8"/>
      <c r="E2197" s="8"/>
      <c r="F2197" s="8"/>
      <c r="G2197" s="8"/>
      <c r="H2197" s="8"/>
      <c r="I2197" s="9"/>
      <c r="J2197" s="9"/>
      <c r="K2197" s="18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customHeight="1">
      <c r="A2198" s="7"/>
      <c r="B2198" s="8"/>
      <c r="C2198" s="8"/>
      <c r="D2198" s="8"/>
      <c r="E2198" s="8"/>
      <c r="F2198" s="8"/>
      <c r="G2198" s="8"/>
      <c r="H2198" s="8"/>
      <c r="I2198" s="9"/>
      <c r="J2198" s="9"/>
      <c r="K2198" s="18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customHeight="1">
      <c r="A2199" s="7"/>
      <c r="B2199" s="8"/>
      <c r="C2199" s="8"/>
      <c r="D2199" s="8"/>
      <c r="E2199" s="8"/>
      <c r="F2199" s="8"/>
      <c r="G2199" s="8"/>
      <c r="H2199" s="8"/>
      <c r="I2199" s="9"/>
      <c r="J2199" s="9"/>
      <c r="K2199" s="18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customHeight="1">
      <c r="A2200" s="7"/>
      <c r="B2200" s="8"/>
      <c r="C2200" s="8"/>
      <c r="D2200" s="8"/>
      <c r="E2200" s="8"/>
      <c r="F2200" s="8"/>
      <c r="G2200" s="8"/>
      <c r="H2200" s="8"/>
      <c r="I2200" s="9"/>
      <c r="J2200" s="9"/>
      <c r="K2200" s="18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customHeight="1">
      <c r="A2201" s="7"/>
      <c r="B2201" s="8"/>
      <c r="C2201" s="8"/>
      <c r="D2201" s="8"/>
      <c r="E2201" s="8"/>
      <c r="F2201" s="8"/>
      <c r="G2201" s="8"/>
      <c r="H2201" s="8"/>
      <c r="I2201" s="9"/>
      <c r="J2201" s="9"/>
      <c r="K2201" s="18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4.25" customHeight="1">
      <c r="A2202" s="7"/>
      <c r="B2202" s="8"/>
      <c r="C2202" s="8"/>
      <c r="D2202" s="8"/>
      <c r="E2202" s="8"/>
      <c r="F2202" s="8"/>
      <c r="G2202" s="8"/>
      <c r="H2202" s="8"/>
      <c r="I2202" s="9"/>
      <c r="J2202" s="9"/>
      <c r="K2202" s="18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customHeight="1">
      <c r="A2203" s="7"/>
      <c r="B2203" s="8"/>
      <c r="C2203" s="8"/>
      <c r="D2203" s="8"/>
      <c r="E2203" s="8"/>
      <c r="F2203" s="8"/>
      <c r="G2203" s="8"/>
      <c r="H2203" s="8"/>
      <c r="I2203" s="9"/>
      <c r="J2203" s="9"/>
      <c r="K2203" s="18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customHeight="1">
      <c r="A2204" s="7"/>
      <c r="B2204" s="8"/>
      <c r="C2204" s="8"/>
      <c r="D2204" s="8"/>
      <c r="E2204" s="8"/>
      <c r="F2204" s="8"/>
      <c r="G2204" s="8"/>
      <c r="H2204" s="8"/>
      <c r="I2204" s="9"/>
      <c r="J2204" s="9"/>
      <c r="K2204" s="18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customHeight="1">
      <c r="A2205" s="7"/>
      <c r="B2205" s="8"/>
      <c r="C2205" s="8"/>
      <c r="D2205" s="8"/>
      <c r="E2205" s="8"/>
      <c r="F2205" s="8"/>
      <c r="G2205" s="8"/>
      <c r="H2205" s="8"/>
      <c r="I2205" s="9"/>
      <c r="J2205" s="9"/>
      <c r="K2205" s="18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customHeight="1">
      <c r="A2206" s="7"/>
      <c r="B2206" s="8"/>
      <c r="C2206" s="8"/>
      <c r="D2206" s="8"/>
      <c r="E2206" s="8"/>
      <c r="F2206" s="8"/>
      <c r="G2206" s="8"/>
      <c r="H2206" s="8"/>
      <c r="I2206" s="9"/>
      <c r="J2206" s="9"/>
      <c r="K2206" s="18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customHeight="1">
      <c r="A2207" s="7"/>
      <c r="B2207" s="8"/>
      <c r="C2207" s="8"/>
      <c r="D2207" s="8"/>
      <c r="E2207" s="8"/>
      <c r="F2207" s="8"/>
      <c r="G2207" s="8"/>
      <c r="H2207" s="8"/>
      <c r="I2207" s="9"/>
      <c r="J2207" s="9"/>
      <c r="K2207" s="18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customHeight="1">
      <c r="A2208" s="7"/>
      <c r="B2208" s="8"/>
      <c r="C2208" s="8"/>
      <c r="D2208" s="8"/>
      <c r="E2208" s="8"/>
      <c r="F2208" s="8"/>
      <c r="G2208" s="8"/>
      <c r="H2208" s="8"/>
      <c r="I2208" s="9"/>
      <c r="J2208" s="9"/>
      <c r="K2208" s="18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4.25" customHeight="1">
      <c r="A2209" s="7"/>
      <c r="B2209" s="8"/>
      <c r="C2209" s="8"/>
      <c r="D2209" s="8"/>
      <c r="E2209" s="8"/>
      <c r="F2209" s="8"/>
      <c r="G2209" s="8"/>
      <c r="H2209" s="8"/>
      <c r="I2209" s="9"/>
      <c r="J2209" s="9"/>
      <c r="K2209" s="18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customHeight="1">
      <c r="A2210" s="7"/>
      <c r="B2210" s="8"/>
      <c r="C2210" s="8"/>
      <c r="D2210" s="8"/>
      <c r="E2210" s="8"/>
      <c r="F2210" s="8"/>
      <c r="G2210" s="8"/>
      <c r="H2210" s="8"/>
      <c r="I2210" s="9"/>
      <c r="J2210" s="9"/>
      <c r="K2210" s="18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customHeight="1">
      <c r="A2211" s="7"/>
      <c r="B2211" s="8"/>
      <c r="C2211" s="8"/>
      <c r="D2211" s="8"/>
      <c r="E2211" s="8"/>
      <c r="F2211" s="8"/>
      <c r="G2211" s="8"/>
      <c r="H2211" s="8"/>
      <c r="I2211" s="9"/>
      <c r="J2211" s="9"/>
      <c r="K2211" s="18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customHeight="1">
      <c r="A2212" s="7"/>
      <c r="B2212" s="8"/>
      <c r="C2212" s="8"/>
      <c r="D2212" s="8"/>
      <c r="E2212" s="8"/>
      <c r="F2212" s="8"/>
      <c r="G2212" s="8"/>
      <c r="H2212" s="8"/>
      <c r="I2212" s="9"/>
      <c r="J2212" s="9"/>
      <c r="K2212" s="18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customHeight="1">
      <c r="A2213" s="7"/>
      <c r="B2213" s="8"/>
      <c r="C2213" s="8"/>
      <c r="D2213" s="8"/>
      <c r="E2213" s="8"/>
      <c r="F2213" s="8"/>
      <c r="G2213" s="8"/>
      <c r="H2213" s="8"/>
      <c r="I2213" s="9"/>
      <c r="J2213" s="9"/>
      <c r="K2213" s="18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customHeight="1">
      <c r="A2214" s="7"/>
      <c r="B2214" s="8"/>
      <c r="C2214" s="8"/>
      <c r="D2214" s="8"/>
      <c r="E2214" s="8"/>
      <c r="F2214" s="8"/>
      <c r="G2214" s="8"/>
      <c r="H2214" s="8"/>
      <c r="I2214" s="9"/>
      <c r="J2214" s="9"/>
      <c r="K2214" s="18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customHeight="1">
      <c r="A2215" s="7"/>
      <c r="B2215" s="8"/>
      <c r="C2215" s="8"/>
      <c r="D2215" s="8"/>
      <c r="E2215" s="8"/>
      <c r="F2215" s="8"/>
      <c r="G2215" s="8"/>
      <c r="H2215" s="8"/>
      <c r="I2215" s="9"/>
      <c r="J2215" s="9"/>
      <c r="K2215" s="18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4.25" customHeight="1">
      <c r="A2216" s="7"/>
      <c r="B2216" s="8"/>
      <c r="C2216" s="8"/>
      <c r="D2216" s="8"/>
      <c r="E2216" s="8"/>
      <c r="F2216" s="8"/>
      <c r="G2216" s="8"/>
      <c r="H2216" s="8"/>
      <c r="I2216" s="9"/>
      <c r="J2216" s="9"/>
      <c r="K2216" s="18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customHeight="1">
      <c r="A2217" s="7"/>
      <c r="B2217" s="8"/>
      <c r="C2217" s="8"/>
      <c r="D2217" s="8"/>
      <c r="E2217" s="8"/>
      <c r="F2217" s="8"/>
      <c r="G2217" s="8"/>
      <c r="H2217" s="8"/>
      <c r="I2217" s="9"/>
      <c r="J2217" s="9"/>
      <c r="K2217" s="18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customHeight="1">
      <c r="A2218" s="7"/>
      <c r="B2218" s="8"/>
      <c r="C2218" s="8"/>
      <c r="D2218" s="8"/>
      <c r="E2218" s="8"/>
      <c r="F2218" s="8"/>
      <c r="G2218" s="8"/>
      <c r="H2218" s="8"/>
      <c r="I2218" s="9"/>
      <c r="J2218" s="9"/>
      <c r="K2218" s="18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customHeight="1">
      <c r="A2219" s="7"/>
      <c r="B2219" s="8"/>
      <c r="C2219" s="8"/>
      <c r="D2219" s="8"/>
      <c r="E2219" s="8"/>
      <c r="F2219" s="8"/>
      <c r="G2219" s="8"/>
      <c r="H2219" s="8"/>
      <c r="I2219" s="9"/>
      <c r="J2219" s="9"/>
      <c r="K2219" s="18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4.25" customHeight="1">
      <c r="A2220" s="7"/>
      <c r="B2220" s="8"/>
      <c r="C2220" s="8"/>
      <c r="D2220" s="8"/>
      <c r="E2220" s="8"/>
      <c r="F2220" s="8"/>
      <c r="G2220" s="8"/>
      <c r="H2220" s="8"/>
      <c r="I2220" s="9"/>
      <c r="J2220" s="9"/>
      <c r="K2220" s="18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customHeight="1">
      <c r="A2221" s="7"/>
      <c r="B2221" s="8"/>
      <c r="C2221" s="8"/>
      <c r="D2221" s="8"/>
      <c r="E2221" s="8"/>
      <c r="F2221" s="8"/>
      <c r="G2221" s="8"/>
      <c r="H2221" s="8"/>
      <c r="I2221" s="9"/>
      <c r="J2221" s="9"/>
      <c r="K2221" s="18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4.25" customHeight="1">
      <c r="A2222" s="7"/>
      <c r="B2222" s="8"/>
      <c r="C2222" s="8"/>
      <c r="D2222" s="8"/>
      <c r="E2222" s="8"/>
      <c r="F2222" s="8"/>
      <c r="G2222" s="8"/>
      <c r="H2222" s="8"/>
      <c r="I2222" s="9"/>
      <c r="J2222" s="9"/>
      <c r="K2222" s="18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customHeight="1">
      <c r="A2223" s="7"/>
      <c r="B2223" s="8"/>
      <c r="C2223" s="8"/>
      <c r="D2223" s="8"/>
      <c r="E2223" s="8"/>
      <c r="F2223" s="8"/>
      <c r="G2223" s="8"/>
      <c r="H2223" s="8"/>
      <c r="I2223" s="9"/>
      <c r="J2223" s="9"/>
      <c r="K2223" s="18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customHeight="1">
      <c r="A2224" s="7"/>
      <c r="B2224" s="8"/>
      <c r="C2224" s="8"/>
      <c r="D2224" s="8"/>
      <c r="E2224" s="8"/>
      <c r="F2224" s="8"/>
      <c r="G2224" s="8"/>
      <c r="H2224" s="8"/>
      <c r="I2224" s="9"/>
      <c r="J2224" s="9"/>
      <c r="K2224" s="18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customHeight="1">
      <c r="A2225" s="7"/>
      <c r="B2225" s="8"/>
      <c r="C2225" s="8"/>
      <c r="D2225" s="8"/>
      <c r="E2225" s="8"/>
      <c r="F2225" s="8"/>
      <c r="G2225" s="8"/>
      <c r="H2225" s="8"/>
      <c r="I2225" s="9"/>
      <c r="J2225" s="9"/>
      <c r="K2225" s="18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customHeight="1">
      <c r="A2226" s="7"/>
      <c r="B2226" s="8"/>
      <c r="C2226" s="8"/>
      <c r="D2226" s="8"/>
      <c r="E2226" s="8"/>
      <c r="F2226" s="8"/>
      <c r="G2226" s="8"/>
      <c r="H2226" s="8"/>
      <c r="I2226" s="9"/>
      <c r="J2226" s="9"/>
      <c r="K2226" s="18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customHeight="1">
      <c r="A2227" s="7"/>
      <c r="B2227" s="8"/>
      <c r="C2227" s="8"/>
      <c r="D2227" s="8"/>
      <c r="E2227" s="8"/>
      <c r="F2227" s="8"/>
      <c r="G2227" s="8"/>
      <c r="H2227" s="8"/>
      <c r="I2227" s="9"/>
      <c r="J2227" s="9"/>
      <c r="K2227" s="18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4.25" customHeight="1">
      <c r="A2228" s="7"/>
      <c r="B2228" s="8"/>
      <c r="C2228" s="8"/>
      <c r="D2228" s="8"/>
      <c r="E2228" s="8"/>
      <c r="F2228" s="8"/>
      <c r="G2228" s="8"/>
      <c r="H2228" s="8"/>
      <c r="I2228" s="9"/>
      <c r="J2228" s="9"/>
      <c r="K2228" s="18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customHeight="1">
      <c r="A2229" s="7"/>
      <c r="B2229" s="8"/>
      <c r="C2229" s="8"/>
      <c r="D2229" s="8"/>
      <c r="E2229" s="8"/>
      <c r="F2229" s="8"/>
      <c r="G2229" s="8"/>
      <c r="H2229" s="8"/>
      <c r="I2229" s="9"/>
      <c r="J2229" s="9"/>
      <c r="K2229" s="18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customHeight="1">
      <c r="A2230" s="7"/>
      <c r="B2230" s="8"/>
      <c r="C2230" s="8"/>
      <c r="D2230" s="8"/>
      <c r="E2230" s="8"/>
      <c r="F2230" s="8"/>
      <c r="G2230" s="8"/>
      <c r="H2230" s="8"/>
      <c r="I2230" s="9"/>
      <c r="J2230" s="9"/>
      <c r="K2230" s="18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customHeight="1">
      <c r="A2231" s="7"/>
      <c r="B2231" s="8"/>
      <c r="C2231" s="8"/>
      <c r="D2231" s="8"/>
      <c r="E2231" s="8"/>
      <c r="F2231" s="8"/>
      <c r="G2231" s="8"/>
      <c r="H2231" s="8"/>
      <c r="I2231" s="9"/>
      <c r="J2231" s="9"/>
      <c r="K2231" s="18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customHeight="1">
      <c r="A2232" s="7"/>
      <c r="B2232" s="8"/>
      <c r="C2232" s="8"/>
      <c r="D2232" s="8"/>
      <c r="E2232" s="8"/>
      <c r="F2232" s="8"/>
      <c r="G2232" s="8"/>
      <c r="H2232" s="8"/>
      <c r="I2232" s="9"/>
      <c r="J2232" s="9"/>
      <c r="K2232" s="18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customHeight="1">
      <c r="A2233" s="7"/>
      <c r="B2233" s="8"/>
      <c r="C2233" s="8"/>
      <c r="D2233" s="8"/>
      <c r="E2233" s="8"/>
      <c r="F2233" s="8"/>
      <c r="G2233" s="8"/>
      <c r="H2233" s="8"/>
      <c r="I2233" s="9"/>
      <c r="J2233" s="9"/>
      <c r="K2233" s="18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4.25" customHeight="1">
      <c r="A2234" s="7"/>
      <c r="B2234" s="8"/>
      <c r="C2234" s="8"/>
      <c r="D2234" s="8"/>
      <c r="E2234" s="8"/>
      <c r="F2234" s="8"/>
      <c r="G2234" s="8"/>
      <c r="H2234" s="8"/>
      <c r="I2234" s="9"/>
      <c r="J2234" s="9"/>
      <c r="K2234" s="18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customHeight="1">
      <c r="A2235" s="7"/>
      <c r="B2235" s="8"/>
      <c r="C2235" s="8"/>
      <c r="D2235" s="8"/>
      <c r="E2235" s="8"/>
      <c r="F2235" s="8"/>
      <c r="G2235" s="8"/>
      <c r="H2235" s="8"/>
      <c r="I2235" s="9"/>
      <c r="J2235" s="9"/>
      <c r="K2235" s="18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4.25" customHeight="1">
      <c r="A2236" s="7"/>
      <c r="B2236" s="8"/>
      <c r="C2236" s="8"/>
      <c r="D2236" s="8"/>
      <c r="E2236" s="8"/>
      <c r="F2236" s="8"/>
      <c r="G2236" s="8"/>
      <c r="H2236" s="8"/>
      <c r="I2236" s="9"/>
      <c r="J2236" s="9"/>
      <c r="K2236" s="18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customHeight="1">
      <c r="A2237" s="7"/>
      <c r="B2237" s="8"/>
      <c r="C2237" s="8"/>
      <c r="D2237" s="8"/>
      <c r="E2237" s="8"/>
      <c r="F2237" s="8"/>
      <c r="G2237" s="8"/>
      <c r="H2237" s="8"/>
      <c r="I2237" s="9"/>
      <c r="J2237" s="9"/>
      <c r="K2237" s="18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customHeight="1">
      <c r="A2238" s="7"/>
      <c r="B2238" s="8"/>
      <c r="C2238" s="8"/>
      <c r="D2238" s="8"/>
      <c r="E2238" s="8"/>
      <c r="F2238" s="8"/>
      <c r="G2238" s="8"/>
      <c r="H2238" s="8"/>
      <c r="I2238" s="9"/>
      <c r="J2238" s="9"/>
      <c r="K2238" s="18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customHeight="1">
      <c r="A2239" s="7"/>
      <c r="B2239" s="8"/>
      <c r="C2239" s="8"/>
      <c r="D2239" s="8"/>
      <c r="E2239" s="8"/>
      <c r="F2239" s="8"/>
      <c r="G2239" s="8"/>
      <c r="H2239" s="8"/>
      <c r="I2239" s="9"/>
      <c r="J2239" s="9"/>
      <c r="K2239" s="18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customHeight="1">
      <c r="A2240" s="7"/>
      <c r="B2240" s="8"/>
      <c r="C2240" s="8"/>
      <c r="D2240" s="8"/>
      <c r="E2240" s="8"/>
      <c r="F2240" s="8"/>
      <c r="G2240" s="8"/>
      <c r="H2240" s="8"/>
      <c r="I2240" s="9"/>
      <c r="J2240" s="9"/>
      <c r="K2240" s="18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customHeight="1">
      <c r="A2241" s="7"/>
      <c r="B2241" s="8"/>
      <c r="C2241" s="8"/>
      <c r="D2241" s="8"/>
      <c r="E2241" s="8"/>
      <c r="F2241" s="8"/>
      <c r="G2241" s="8"/>
      <c r="H2241" s="8"/>
      <c r="I2241" s="9"/>
      <c r="J2241" s="9"/>
      <c r="K2241" s="18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customHeight="1">
      <c r="A2242" s="7"/>
      <c r="B2242" s="8"/>
      <c r="C2242" s="8"/>
      <c r="D2242" s="8"/>
      <c r="E2242" s="8"/>
      <c r="F2242" s="8"/>
      <c r="G2242" s="8"/>
      <c r="H2242" s="8"/>
      <c r="I2242" s="9"/>
      <c r="J2242" s="9"/>
      <c r="K2242" s="18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4.25" customHeight="1">
      <c r="A2243" s="7"/>
      <c r="B2243" s="8"/>
      <c r="C2243" s="8"/>
      <c r="D2243" s="8"/>
      <c r="E2243" s="8"/>
      <c r="F2243" s="8"/>
      <c r="G2243" s="8"/>
      <c r="H2243" s="8"/>
      <c r="I2243" s="9"/>
      <c r="J2243" s="9"/>
      <c r="K2243" s="18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customHeight="1">
      <c r="A2244" s="7"/>
      <c r="B2244" s="8"/>
      <c r="C2244" s="8"/>
      <c r="D2244" s="8"/>
      <c r="E2244" s="8"/>
      <c r="F2244" s="8"/>
      <c r="G2244" s="8"/>
      <c r="H2244" s="8"/>
      <c r="I2244" s="9"/>
      <c r="J2244" s="9"/>
      <c r="K2244" s="18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customHeight="1">
      <c r="A2245" s="7"/>
      <c r="B2245" s="8"/>
      <c r="C2245" s="8"/>
      <c r="D2245" s="8"/>
      <c r="E2245" s="8"/>
      <c r="F2245" s="8"/>
      <c r="G2245" s="8"/>
      <c r="H2245" s="8"/>
      <c r="I2245" s="9"/>
      <c r="J2245" s="9"/>
      <c r="K2245" s="18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4.25" customHeight="1">
      <c r="A2246" s="7"/>
      <c r="B2246" s="8"/>
      <c r="C2246" s="8"/>
      <c r="D2246" s="8"/>
      <c r="E2246" s="8"/>
      <c r="F2246" s="8"/>
      <c r="G2246" s="8"/>
      <c r="H2246" s="8"/>
      <c r="I2246" s="9"/>
      <c r="J2246" s="9"/>
      <c r="K2246" s="18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customHeight="1">
      <c r="A2247" s="7"/>
      <c r="B2247" s="8"/>
      <c r="C2247" s="8"/>
      <c r="D2247" s="8"/>
      <c r="E2247" s="8"/>
      <c r="F2247" s="8"/>
      <c r="G2247" s="8"/>
      <c r="H2247" s="8"/>
      <c r="I2247" s="9"/>
      <c r="J2247" s="9"/>
      <c r="K2247" s="18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</sheetData>
  <mergeCells count="1">
    <mergeCell ref="A1:K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35.86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2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tr">
        <f>IFERROR(__xludf.DUMMYFUNCTION("query('WOMENS A  AA'!A2:L1146,""select A, B, C, D, E, F, G, H, I, K WHERE L = 3 ORDER BY A ASC"",1)"),"LAST")</f>
        <v>LAST</v>
      </c>
      <c r="B2" s="5" t="str">
        <f>IFERROR(__xludf.DUMMYFUNCTION("""COMPUTED_VALUE"""),"FIRST")</f>
        <v>FIRST</v>
      </c>
      <c r="C2" s="5" t="str">
        <f>IFERROR(__xludf.DUMMYFUNCTION("""COMPUTED_VALUE"""),"CITY")</f>
        <v>CITY</v>
      </c>
      <c r="D2" s="5" t="str">
        <f>IFERROR(__xludf.DUMMYFUNCTION("""COMPUTED_VALUE"""),"STATE")</f>
        <v>STATE</v>
      </c>
      <c r="E2" s="5" t="str">
        <f>IFERROR(__xludf.DUMMYFUNCTION("""COMPUTED_VALUE"""),"COUNTRY")</f>
        <v>COUNTRY</v>
      </c>
      <c r="F2" s="5" t="str">
        <f>IFERROR(__xludf.DUMMYFUNCTION("""COMPUTED_VALUE"""),"EVENT")</f>
        <v>EVENT</v>
      </c>
      <c r="G2" s="5" t="str">
        <f>IFERROR(__xludf.DUMMYFUNCTION("""COMPUTED_VALUE"""),"PLACE")</f>
        <v>PLACE</v>
      </c>
      <c r="H2" s="5" t="str">
        <f>IFERROR(__xludf.DUMMYFUNCTION("""COMPUTED_VALUE"""),"LOCATION")</f>
        <v>LOCATION</v>
      </c>
      <c r="I2" s="5" t="str">
        <f>IFERROR(__xludf.DUMMYFUNCTION("""COMPUTED_VALUE"""),"ON LIST")</f>
        <v>ON LIST</v>
      </c>
      <c r="J2" s="5" t="str">
        <f>IFERROR(__xludf.DUMMYFUNCTION("""COMPUTED_VALUE"""),"OFF A LIST")</f>
        <v>OFF A LIST</v>
      </c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17" t="str">
        <f>IFERROR(__xludf.DUMMYFUNCTION("""COMPUTED_VALUE"""),"ACKLEY")</f>
        <v>ACKLEY</v>
      </c>
      <c r="B3" s="8" t="str">
        <f>IFERROR(__xludf.DUMMYFUNCTION("""COMPUTED_VALUE"""),"ASHLEY")</f>
        <v>ASHLEY</v>
      </c>
      <c r="C3" s="8" t="str">
        <f>IFERROR(__xludf.DUMMYFUNCTION("""COMPUTED_VALUE"""),"TOMBALL")</f>
        <v>TOMBALL</v>
      </c>
      <c r="D3" s="8" t="str">
        <f>IFERROR(__xludf.DUMMYFUNCTION("""COMPUTED_VALUE"""),"TX")</f>
        <v>TX</v>
      </c>
      <c r="E3" s="8" t="str">
        <f>IFERROR(__xludf.DUMMYFUNCTION("""COMPUTED_VALUE"""),"USA")</f>
        <v>USA</v>
      </c>
      <c r="F3" s="8" t="str">
        <f>IFERROR(__xludf.DUMMYFUNCTION("""COMPUTED_VALUE"""),"WOMEN DBLS 301")</f>
        <v>WOMEN DBLS 301</v>
      </c>
      <c r="G3" s="8" t="str">
        <f>IFERROR(__xludf.DUMMYFUNCTION("""COMPUTED_VALUE"""),"3RD")</f>
        <v>3RD</v>
      </c>
      <c r="H3" s="8" t="str">
        <f>IFERROR(__xludf.DUMMYFUNCTION("""COMPUTED_VALUE"""),"TX REGIONAL BS 38")</f>
        <v>TX REGIONAL BS 38</v>
      </c>
      <c r="I3" s="9">
        <f>IFERROR(__xludf.DUMMYFUNCTION("""COMPUTED_VALUE"""),45444.0)</f>
        <v>45444</v>
      </c>
      <c r="J3" s="9">
        <f>IFERROR(__xludf.DUMMYFUNCTION("""COMPUTED_VALUE"""),46539.0)</f>
        <v>46539</v>
      </c>
      <c r="K3" s="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7" t="str">
        <f>IFERROR(__xludf.DUMMYFUNCTION("""COMPUTED_VALUE"""),"ADAMS")</f>
        <v>ADAMS</v>
      </c>
      <c r="B4" s="8" t="str">
        <f>IFERROR(__xludf.DUMMYFUNCTION("""COMPUTED_VALUE"""),"DEBORAH")</f>
        <v>DEBORAH</v>
      </c>
      <c r="C4" s="8" t="str">
        <f>IFERROR(__xludf.DUMMYFUNCTION("""COMPUTED_VALUE"""),"CORRYTON")</f>
        <v>CORRYTON</v>
      </c>
      <c r="D4" s="8" t="str">
        <f>IFERROR(__xludf.DUMMYFUNCTION("""COMPUTED_VALUE"""),"TN")</f>
        <v>TN</v>
      </c>
      <c r="E4" s="8" t="str">
        <f>IFERROR(__xludf.DUMMYFUNCTION("""COMPUTED_VALUE"""),"USA")</f>
        <v>USA</v>
      </c>
      <c r="F4" s="8" t="str">
        <f>IFERROR(__xludf.DUMMYFUNCTION("""COMPUTED_VALUE"""),"WOMENS 301 DBLS")</f>
        <v>WOMENS 301 DBLS</v>
      </c>
      <c r="G4" s="8" t="str">
        <f>IFERROR(__xludf.DUMMYFUNCTION("""COMPUTED_VALUE"""),"3")</f>
        <v>3</v>
      </c>
      <c r="H4" s="8" t="str">
        <f>IFERROR(__xludf.DUMMYFUNCTION("""COMPUTED_VALUE"""),"BS 37 SC")</f>
        <v>BS 37 SC</v>
      </c>
      <c r="I4" s="9">
        <f>IFERROR(__xludf.DUMMYFUNCTION("""COMPUTED_VALUE"""),45078.0)</f>
        <v>45078</v>
      </c>
      <c r="J4" s="9">
        <f>IFERROR(__xludf.DUMMYFUNCTION("""COMPUTED_VALUE"""),46174.0)</f>
        <v>46174</v>
      </c>
      <c r="K4" s="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1" t="str">
        <f>IFERROR(__xludf.DUMMYFUNCTION("""COMPUTED_VALUE"""),"ADAMS")</f>
        <v>ADAMS</v>
      </c>
      <c r="B5" s="12" t="str">
        <f>IFERROR(__xludf.DUMMYFUNCTION("""COMPUTED_VALUE"""),"OLIVIA")</f>
        <v>OLIVIA</v>
      </c>
      <c r="C5" s="12" t="str">
        <f>IFERROR(__xludf.DUMMYFUNCTION("""COMPUTED_VALUE"""),"ST LOUIS")</f>
        <v>ST LOUIS</v>
      </c>
      <c r="D5" s="12" t="str">
        <f>IFERROR(__xludf.DUMMYFUNCTION("""COMPUTED_VALUE"""),"MO")</f>
        <v>MO</v>
      </c>
      <c r="E5" s="12" t="str">
        <f>IFERROR(__xludf.DUMMYFUNCTION("""COMPUTED_VALUE"""),"USA")</f>
        <v>USA</v>
      </c>
      <c r="F5" s="12" t="str">
        <f>IFERROR(__xludf.DUMMYFUNCTION("""COMPUTED_VALUE"""),"WOMEN B DBLS 301")</f>
        <v>WOMEN B DBLS 301</v>
      </c>
      <c r="G5" s="12" t="str">
        <f>IFERROR(__xludf.DUMMYFUNCTION("""COMPUTED_VALUE"""),"3RD")</f>
        <v>3RD</v>
      </c>
      <c r="H5" s="12" t="str">
        <f>IFERROR(__xludf.DUMMYFUNCTION("""COMPUTED_VALUE"""),"BS 38 FINALS")</f>
        <v>BS 38 FINALS</v>
      </c>
      <c r="I5" s="14">
        <f>IFERROR(__xludf.DUMMYFUNCTION("""COMPUTED_VALUE"""),45444.0)</f>
        <v>45444</v>
      </c>
      <c r="J5" s="14">
        <f>IFERROR(__xludf.DUMMYFUNCTION("""COMPUTED_VALUE"""),46539.0)</f>
        <v>46539</v>
      </c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7" t="str">
        <f>IFERROR(__xludf.DUMMYFUNCTION("""COMPUTED_VALUE"""),"ANDERSEN")</f>
        <v>ANDERSEN</v>
      </c>
      <c r="B6" s="8" t="str">
        <f>IFERROR(__xludf.DUMMYFUNCTION("""COMPUTED_VALUE"""),"CRYSTAL")</f>
        <v>CRYSTAL</v>
      </c>
      <c r="C6" s="8" t="str">
        <f>IFERROR(__xludf.DUMMYFUNCTION("""COMPUTED_VALUE"""),"CHIPPEWA FALLS")</f>
        <v>CHIPPEWA FALLS</v>
      </c>
      <c r="D6" s="8" t="str">
        <f>IFERROR(__xludf.DUMMYFUNCTION("""COMPUTED_VALUE"""),"WI")</f>
        <v>WI</v>
      </c>
      <c r="E6" s="8" t="str">
        <f>IFERROR(__xludf.DUMMYFUNCTION("""COMPUTED_VALUE"""),"USA")</f>
        <v>USA</v>
      </c>
      <c r="F6" s="8" t="str">
        <f>IFERROR(__xludf.DUMMYFUNCTION("""COMPUTED_VALUE"""),"WOMENS DBLS 301")</f>
        <v>WOMENS DBLS 301</v>
      </c>
      <c r="G6" s="8" t="str">
        <f>IFERROR(__xludf.DUMMYFUNCTION("""COMPUTED_VALUE"""),"1ST")</f>
        <v>1ST</v>
      </c>
      <c r="H6" s="8" t="str">
        <f>IFERROR(__xludf.DUMMYFUNCTION("""COMPUTED_VALUE"""),"IN REGIONAL BS 36")</f>
        <v>IN REGIONAL BS 36</v>
      </c>
      <c r="I6" s="9">
        <f>IFERROR(__xludf.DUMMYFUNCTION("""COMPUTED_VALUE"""),44713.0)</f>
        <v>44713</v>
      </c>
      <c r="J6" s="9">
        <f>IFERROR(__xludf.DUMMYFUNCTION("""COMPUTED_VALUE"""),45809.0)</f>
        <v>45809</v>
      </c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7" t="str">
        <f>IFERROR(__xludf.DUMMYFUNCTION("""COMPUTED_VALUE"""),"Anderson")</f>
        <v>Anderson</v>
      </c>
      <c r="B7" s="8" t="str">
        <f>IFERROR(__xludf.DUMMYFUNCTION("""COMPUTED_VALUE"""),"Amanda")</f>
        <v>Amanda</v>
      </c>
      <c r="C7" s="8" t="str">
        <f>IFERROR(__xludf.DUMMYFUNCTION("""COMPUTED_VALUE"""),"Houlton")</f>
        <v>Houlton</v>
      </c>
      <c r="D7" s="8" t="str">
        <f>IFERROR(__xludf.DUMMYFUNCTION("""COMPUTED_VALUE"""),"WI")</f>
        <v>WI</v>
      </c>
      <c r="E7" s="8" t="str">
        <f>IFERROR(__xludf.DUMMYFUNCTION("""COMPUTED_VALUE"""),"USA")</f>
        <v>USA</v>
      </c>
      <c r="F7" s="8" t="str">
        <f>IFERROR(__xludf.DUMMYFUNCTION("""COMPUTED_VALUE"""),"Women A 501 Doubles")</f>
        <v>Women A 501 Doubles</v>
      </c>
      <c r="G7" s="8" t="str">
        <f>IFERROR(__xludf.DUMMYFUNCTION("""COMPUTED_VALUE"""),"1st")</f>
        <v>1st</v>
      </c>
      <c r="H7" s="8" t="str">
        <f>IFERROR(__xludf.DUMMYFUNCTION("""COMPUTED_VALUE"""),"BullShooter 34 Finals")</f>
        <v>BullShooter 34 Finals</v>
      </c>
      <c r="I7" s="9">
        <f>IFERROR(__xludf.DUMMYFUNCTION("""COMPUTED_VALUE"""),43617.0)</f>
        <v>43617</v>
      </c>
      <c r="J7" s="9">
        <f>IFERROR(__xludf.DUMMYFUNCTION("""COMPUTED_VALUE"""),45809.0)</f>
        <v>45809</v>
      </c>
      <c r="K7" s="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7" t="str">
        <f>IFERROR(__xludf.DUMMYFUNCTION("""COMPUTED_VALUE"""),"ARREDONDO")</f>
        <v>ARREDONDO</v>
      </c>
      <c r="B8" s="8" t="str">
        <f>IFERROR(__xludf.DUMMYFUNCTION("""COMPUTED_VALUE"""),"MISSY")</f>
        <v>MISSY</v>
      </c>
      <c r="C8" s="8" t="str">
        <f>IFERROR(__xludf.DUMMYFUNCTION("""COMPUTED_VALUE"""),"WHITING")</f>
        <v>WHITING</v>
      </c>
      <c r="D8" s="8" t="str">
        <f>IFERROR(__xludf.DUMMYFUNCTION("""COMPUTED_VALUE"""),"IN")</f>
        <v>IN</v>
      </c>
      <c r="E8" s="8" t="str">
        <f>IFERROR(__xludf.DUMMYFUNCTION("""COMPUTED_VALUE"""),"USA")</f>
        <v>USA</v>
      </c>
      <c r="F8" s="8" t="str">
        <f>IFERROR(__xludf.DUMMYFUNCTION("""COMPUTED_VALUE"""),"WOMEN B DBLS 301")</f>
        <v>WOMEN B DBLS 301</v>
      </c>
      <c r="G8" s="8" t="str">
        <f>IFERROR(__xludf.DUMMYFUNCTION("""COMPUTED_VALUE"""),"1ST")</f>
        <v>1ST</v>
      </c>
      <c r="H8" s="8" t="str">
        <f>IFERROR(__xludf.DUMMYFUNCTION("""COMPUTED_VALUE"""),"BS 38 FINALS")</f>
        <v>BS 38 FINALS</v>
      </c>
      <c r="I8" s="9">
        <f>IFERROR(__xludf.DUMMYFUNCTION("""COMPUTED_VALUE"""),45444.0)</f>
        <v>45444</v>
      </c>
      <c r="J8" s="9">
        <f>IFERROR(__xludf.DUMMYFUNCTION("""COMPUTED_VALUE"""),46539.0)</f>
        <v>46539</v>
      </c>
      <c r="K8" s="1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7" t="str">
        <f>IFERROR(__xludf.DUMMYFUNCTION("""COMPUTED_VALUE"""),"BACKENSTO")</f>
        <v>BACKENSTO</v>
      </c>
      <c r="B9" s="8" t="str">
        <f>IFERROR(__xludf.DUMMYFUNCTION("""COMPUTED_VALUE"""),"JESSICA")</f>
        <v>JESSICA</v>
      </c>
      <c r="C9" s="8" t="str">
        <f>IFERROR(__xludf.DUMMYFUNCTION("""COMPUTED_VALUE"""),"MANSFIELD")</f>
        <v>MANSFIELD</v>
      </c>
      <c r="D9" s="8" t="str">
        <f>IFERROR(__xludf.DUMMYFUNCTION("""COMPUTED_VALUE"""),"OH")</f>
        <v>OH</v>
      </c>
      <c r="E9" s="8" t="str">
        <f>IFERROR(__xludf.DUMMYFUNCTION("""COMPUTED_VALUE"""),"USA")</f>
        <v>USA</v>
      </c>
      <c r="F9" s="8" t="str">
        <f>IFERROR(__xludf.DUMMYFUNCTION("""COMPUTED_VALUE"""),"WOMENS DBLS COMBO")</f>
        <v>WOMENS DBLS COMBO</v>
      </c>
      <c r="G9" s="8" t="str">
        <f>IFERROR(__xludf.DUMMYFUNCTION("""COMPUTED_VALUE"""),"3RD")</f>
        <v>3RD</v>
      </c>
      <c r="H9" s="8" t="str">
        <f>IFERROR(__xludf.DUMMYFUNCTION("""COMPUTED_VALUE"""),"PA REGIONAL BS 36")</f>
        <v>PA REGIONAL BS 36</v>
      </c>
      <c r="I9" s="9">
        <f>IFERROR(__xludf.DUMMYFUNCTION("""COMPUTED_VALUE"""),44713.0)</f>
        <v>44713</v>
      </c>
      <c r="J9" s="9">
        <f>IFERROR(__xludf.DUMMYFUNCTION("""COMPUTED_VALUE"""),45809.0)</f>
        <v>45809</v>
      </c>
      <c r="K9" s="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7" t="str">
        <f>IFERROR(__xludf.DUMMYFUNCTION("""COMPUTED_VALUE"""),"BANKS")</f>
        <v>BANKS</v>
      </c>
      <c r="B10" s="8" t="str">
        <f>IFERROR(__xludf.DUMMYFUNCTION("""COMPUTED_VALUE"""),"CHRISTINA")</f>
        <v>CHRISTINA</v>
      </c>
      <c r="C10" s="8" t="str">
        <f>IFERROR(__xludf.DUMMYFUNCTION("""COMPUTED_VALUE"""),"LITHIA")</f>
        <v>LITHIA</v>
      </c>
      <c r="D10" s="8" t="str">
        <f>IFERROR(__xludf.DUMMYFUNCTION("""COMPUTED_VALUE"""),"FL")</f>
        <v>FL</v>
      </c>
      <c r="E10" s="8" t="str">
        <f>IFERROR(__xludf.DUMMYFUNCTION("""COMPUTED_VALUE"""),"USA")</f>
        <v>USA</v>
      </c>
      <c r="F10" s="8" t="str">
        <f>IFERROR(__xludf.DUMMYFUNCTION("""COMPUTED_VALUE"""),"WOMEN DBLS COMBO")</f>
        <v>WOMEN DBLS COMBO</v>
      </c>
      <c r="G10" s="8" t="str">
        <f>IFERROR(__xludf.DUMMYFUNCTION("""COMPUTED_VALUE"""),"2")</f>
        <v>2</v>
      </c>
      <c r="H10" s="8" t="str">
        <f>IFERROR(__xludf.DUMMYFUNCTION("""COMPUTED_VALUE"""),"BS 37 OH")</f>
        <v>BS 37 OH</v>
      </c>
      <c r="I10" s="9">
        <f>IFERROR(__xludf.DUMMYFUNCTION("""COMPUTED_VALUE"""),45078.0)</f>
        <v>45078</v>
      </c>
      <c r="J10" s="9">
        <f>IFERROR(__xludf.DUMMYFUNCTION("""COMPUTED_VALUE"""),46174.0)</f>
        <v>46174</v>
      </c>
      <c r="K10" s="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11" t="str">
        <f>IFERROR(__xludf.DUMMYFUNCTION("""COMPUTED_VALUE"""),"BANTZ")</f>
        <v>BANTZ</v>
      </c>
      <c r="B11" s="12" t="str">
        <f>IFERROR(__xludf.DUMMYFUNCTION("""COMPUTED_VALUE"""),"SARAH")</f>
        <v>SARAH</v>
      </c>
      <c r="C11" s="12" t="str">
        <f>IFERROR(__xludf.DUMMYFUNCTION("""COMPUTED_VALUE"""),"WATERLOO")</f>
        <v>WATERLOO</v>
      </c>
      <c r="D11" s="12" t="str">
        <f>IFERROR(__xludf.DUMMYFUNCTION("""COMPUTED_VALUE"""),"IA")</f>
        <v>IA</v>
      </c>
      <c r="E11" s="12" t="str">
        <f>IFERROR(__xludf.DUMMYFUNCTION("""COMPUTED_VALUE"""),"USA")</f>
        <v>USA</v>
      </c>
      <c r="F11" s="12" t="str">
        <f>IFERROR(__xludf.DUMMYFUNCTION("""COMPUTED_VALUE"""),"WOMENS B COMBO LUCK")</f>
        <v>WOMENS B COMBO LUCK</v>
      </c>
      <c r="G11" s="12" t="str">
        <f>IFERROR(__xludf.DUMMYFUNCTION("""COMPUTED_VALUE"""),"4TH")</f>
        <v>4TH</v>
      </c>
      <c r="H11" s="12" t="str">
        <f>IFERROR(__xludf.DUMMYFUNCTION("""COMPUTED_VALUE"""),"BULLSHOOTER 36 FINALS")</f>
        <v>BULLSHOOTER 36 FINALS</v>
      </c>
      <c r="I11" s="14">
        <f>IFERROR(__xludf.DUMMYFUNCTION("""COMPUTED_VALUE"""),44713.0)</f>
        <v>44713</v>
      </c>
      <c r="J11" s="14">
        <f>IFERROR(__xludf.DUMMYFUNCTION("""COMPUTED_VALUE"""),45809.0)</f>
        <v>45809</v>
      </c>
      <c r="K11" s="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7" t="str">
        <f>IFERROR(__xludf.DUMMYFUNCTION("""COMPUTED_VALUE"""),"BELLRICHARD")</f>
        <v>BELLRICHARD</v>
      </c>
      <c r="B12" s="8" t="str">
        <f>IFERROR(__xludf.DUMMYFUNCTION("""COMPUTED_VALUE"""),"SKYLER")</f>
        <v>SKYLER</v>
      </c>
      <c r="C12" s="8" t="str">
        <f>IFERROR(__xludf.DUMMYFUNCTION("""COMPUTED_VALUE"""),"BLOOMER")</f>
        <v>BLOOMER</v>
      </c>
      <c r="D12" s="8" t="str">
        <f>IFERROR(__xludf.DUMMYFUNCTION("""COMPUTED_VALUE"""),"WI")</f>
        <v>WI</v>
      </c>
      <c r="E12" s="8" t="str">
        <f>IFERROR(__xludf.DUMMYFUNCTION("""COMPUTED_VALUE"""),"USA")</f>
        <v>USA</v>
      </c>
      <c r="F12" s="8" t="str">
        <f>IFERROR(__xludf.DUMMYFUNCTION("""COMPUTED_VALUE"""),"WOMEN B DBLS 301")</f>
        <v>WOMEN B DBLS 301</v>
      </c>
      <c r="G12" s="8" t="str">
        <f>IFERROR(__xludf.DUMMYFUNCTION("""COMPUTED_VALUE"""),"2ND")</f>
        <v>2ND</v>
      </c>
      <c r="H12" s="8" t="str">
        <f>IFERROR(__xludf.DUMMYFUNCTION("""COMPUTED_VALUE"""),"BS 38 FINALS")</f>
        <v>BS 38 FINALS</v>
      </c>
      <c r="I12" s="9">
        <f>IFERROR(__xludf.DUMMYFUNCTION("""COMPUTED_VALUE"""),45444.0)</f>
        <v>45444</v>
      </c>
      <c r="J12" s="9">
        <f>IFERROR(__xludf.DUMMYFUNCTION("""COMPUTED_VALUE"""),46539.0)</f>
        <v>46539</v>
      </c>
      <c r="K12" s="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7" t="str">
        <f>IFERROR(__xludf.DUMMYFUNCTION("""COMPUTED_VALUE"""),"BENNETT")</f>
        <v>BENNETT</v>
      </c>
      <c r="B13" s="8" t="str">
        <f>IFERROR(__xludf.DUMMYFUNCTION("""COMPUTED_VALUE"""),"CHRISTINA")</f>
        <v>CHRISTINA</v>
      </c>
      <c r="C13" s="8" t="str">
        <f>IFERROR(__xludf.DUMMYFUNCTION("""COMPUTED_VALUE"""),"ROCHESTER")</f>
        <v>ROCHESTER</v>
      </c>
      <c r="D13" s="8" t="str">
        <f>IFERROR(__xludf.DUMMYFUNCTION("""COMPUTED_VALUE"""),"NY")</f>
        <v>NY</v>
      </c>
      <c r="E13" s="8" t="str">
        <f>IFERROR(__xludf.DUMMYFUNCTION("""COMPUTED_VALUE"""),"USA")</f>
        <v>USA</v>
      </c>
      <c r="F13" s="8" t="str">
        <f>IFERROR(__xludf.DUMMYFUNCTION("""COMPUTED_VALUE"""),"WOMENS 301 DBLS")</f>
        <v>WOMENS 301 DBLS</v>
      </c>
      <c r="G13" s="8" t="str">
        <f>IFERROR(__xludf.DUMMYFUNCTION("""COMPUTED_VALUE"""),"3")</f>
        <v>3</v>
      </c>
      <c r="H13" s="8" t="str">
        <f>IFERROR(__xludf.DUMMYFUNCTION("""COMPUTED_VALUE"""),"BS 37 NY")</f>
        <v>BS 37 NY</v>
      </c>
      <c r="I13" s="9">
        <f>IFERROR(__xludf.DUMMYFUNCTION("""COMPUTED_VALUE"""),45078.0)</f>
        <v>45078</v>
      </c>
      <c r="J13" s="9">
        <f>IFERROR(__xludf.DUMMYFUNCTION("""COMPUTED_VALUE"""),46174.0)</f>
        <v>46174</v>
      </c>
      <c r="K13" s="1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7" t="str">
        <f>IFERROR(__xludf.DUMMYFUNCTION("""COMPUTED_VALUE"""),"BISHOP")</f>
        <v>BISHOP</v>
      </c>
      <c r="B14" s="8" t="str">
        <f>IFERROR(__xludf.DUMMYFUNCTION("""COMPUTED_VALUE"""),"TONYA")</f>
        <v>TONYA</v>
      </c>
      <c r="C14" s="8" t="str">
        <f>IFERROR(__xludf.DUMMYFUNCTION("""COMPUTED_VALUE"""),"WAPAKONETA")</f>
        <v>WAPAKONETA</v>
      </c>
      <c r="D14" s="8" t="str">
        <f>IFERROR(__xludf.DUMMYFUNCTION("""COMPUTED_VALUE"""),"OH")</f>
        <v>OH</v>
      </c>
      <c r="E14" s="8" t="str">
        <f>IFERROR(__xludf.DUMMYFUNCTION("""COMPUTED_VALUE"""),"USA")</f>
        <v>USA</v>
      </c>
      <c r="F14" s="8" t="str">
        <f>IFERROR(__xludf.DUMMYFUNCTION("""COMPUTED_VALUE"""),"WOMEN DBLS COMBO")</f>
        <v>WOMEN DBLS COMBO</v>
      </c>
      <c r="G14" s="8" t="str">
        <f>IFERROR(__xludf.DUMMYFUNCTION("""COMPUTED_VALUE"""),"2ND")</f>
        <v>2ND</v>
      </c>
      <c r="H14" s="8" t="str">
        <f>IFERROR(__xludf.DUMMYFUNCTION("""COMPUTED_VALUE"""),"OH REGIONAL BS 38")</f>
        <v>OH REGIONAL BS 38</v>
      </c>
      <c r="I14" s="9">
        <f>IFERROR(__xludf.DUMMYFUNCTION("""COMPUTED_VALUE"""),45444.0)</f>
        <v>45444</v>
      </c>
      <c r="J14" s="9">
        <f>IFERROR(__xludf.DUMMYFUNCTION("""COMPUTED_VALUE"""),46539.0)</f>
        <v>46539</v>
      </c>
      <c r="K14" s="1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7" t="str">
        <f>IFERROR(__xludf.DUMMYFUNCTION("""COMPUTED_VALUE"""),"BLOSSER")</f>
        <v>BLOSSER</v>
      </c>
      <c r="B15" s="8" t="str">
        <f>IFERROR(__xludf.DUMMYFUNCTION("""COMPUTED_VALUE"""),"CORI")</f>
        <v>CORI</v>
      </c>
      <c r="C15" s="8" t="str">
        <f>IFERROR(__xludf.DUMMYFUNCTION("""COMPUTED_VALUE"""),"ALIQUIPPA")</f>
        <v>ALIQUIPPA</v>
      </c>
      <c r="D15" s="8" t="str">
        <f>IFERROR(__xludf.DUMMYFUNCTION("""COMPUTED_VALUE"""),"PA")</f>
        <v>PA</v>
      </c>
      <c r="E15" s="8" t="str">
        <f>IFERROR(__xludf.DUMMYFUNCTION("""COMPUTED_VALUE"""),"USA")</f>
        <v>USA</v>
      </c>
      <c r="F15" s="8" t="str">
        <f>IFERROR(__xludf.DUMMYFUNCTION("""COMPUTED_VALUE"""),"WOMEN DBLS COMBO")</f>
        <v>WOMEN DBLS COMBO</v>
      </c>
      <c r="G15" s="8" t="str">
        <f>IFERROR(__xludf.DUMMYFUNCTION("""COMPUTED_VALUE"""),"1ST")</f>
        <v>1ST</v>
      </c>
      <c r="H15" s="8" t="str">
        <f>IFERROR(__xludf.DUMMYFUNCTION("""COMPUTED_VALUE"""),"NY REGIONAL BS 38")</f>
        <v>NY REGIONAL BS 38</v>
      </c>
      <c r="I15" s="9">
        <f>IFERROR(__xludf.DUMMYFUNCTION("""COMPUTED_VALUE"""),45444.0)</f>
        <v>45444</v>
      </c>
      <c r="J15" s="9">
        <f>IFERROR(__xludf.DUMMYFUNCTION("""COMPUTED_VALUE"""),46539.0)</f>
        <v>46539</v>
      </c>
      <c r="K15" s="1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7" t="str">
        <f>IFERROR(__xludf.DUMMYFUNCTION("""COMPUTED_VALUE"""),"BOGULAWSKI")</f>
        <v>BOGULAWSKI</v>
      </c>
      <c r="B16" s="8" t="str">
        <f>IFERROR(__xludf.DUMMYFUNCTION("""COMPUTED_VALUE"""),"MEGAN")</f>
        <v>MEGAN</v>
      </c>
      <c r="C16" s="8" t="str">
        <f>IFERROR(__xludf.DUMMYFUNCTION("""COMPUTED_VALUE"""),"LAPORTE")</f>
        <v>LAPORTE</v>
      </c>
      <c r="D16" s="8" t="str">
        <f>IFERROR(__xludf.DUMMYFUNCTION("""COMPUTED_VALUE"""),"IN")</f>
        <v>IN</v>
      </c>
      <c r="E16" s="8" t="str">
        <f>IFERROR(__xludf.DUMMYFUNCTION("""COMPUTED_VALUE"""),"USA")</f>
        <v>USA</v>
      </c>
      <c r="F16" s="8" t="str">
        <f>IFERROR(__xludf.DUMMYFUNCTION("""COMPUTED_VALUE"""),"WOMEN B CRICKET DBLS")</f>
        <v>WOMEN B CRICKET DBLS</v>
      </c>
      <c r="G16" s="8" t="str">
        <f>IFERROR(__xludf.DUMMYFUNCTION("""COMPUTED_VALUE"""),"4")</f>
        <v>4</v>
      </c>
      <c r="H16" s="8" t="str">
        <f>IFERROR(__xludf.DUMMYFUNCTION("""COMPUTED_VALUE"""),"BS 37 FINALS")</f>
        <v>BS 37 FINALS</v>
      </c>
      <c r="I16" s="9">
        <f>IFERROR(__xludf.DUMMYFUNCTION("""COMPUTED_VALUE"""),45078.0)</f>
        <v>45078</v>
      </c>
      <c r="J16" s="9">
        <f>IFERROR(__xludf.DUMMYFUNCTION("""COMPUTED_VALUE"""),46174.0)</f>
        <v>46174</v>
      </c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7" t="str">
        <f>IFERROR(__xludf.DUMMYFUNCTION("""COMPUTED_VALUE"""),"BOLES")</f>
        <v>BOLES</v>
      </c>
      <c r="B17" s="8" t="str">
        <f>IFERROR(__xludf.DUMMYFUNCTION("""COMPUTED_VALUE"""),"TAWANNA")</f>
        <v>TAWANNA</v>
      </c>
      <c r="C17" s="8" t="str">
        <f>IFERROR(__xludf.DUMMYFUNCTION("""COMPUTED_VALUE"""),"LEWISTON")</f>
        <v>LEWISTON</v>
      </c>
      <c r="D17" s="8" t="str">
        <f>IFERROR(__xludf.DUMMYFUNCTION("""COMPUTED_VALUE"""),"ID")</f>
        <v>ID</v>
      </c>
      <c r="E17" s="8" t="str">
        <f>IFERROR(__xludf.DUMMYFUNCTION("""COMPUTED_VALUE"""),"USA")</f>
        <v>USA</v>
      </c>
      <c r="F17" s="8" t="str">
        <f>IFERROR(__xludf.DUMMYFUNCTION("""COMPUTED_VALUE"""),"WOMEN B COMBO LUCK")</f>
        <v>WOMEN B COMBO LUCK</v>
      </c>
      <c r="G17" s="8" t="str">
        <f>IFERROR(__xludf.DUMMYFUNCTION("""COMPUTED_VALUE"""),"1ST")</f>
        <v>1ST</v>
      </c>
      <c r="H17" s="8" t="str">
        <f>IFERROR(__xludf.DUMMYFUNCTION("""COMPUTED_VALUE"""),"BS 38 FINALS")</f>
        <v>BS 38 FINALS</v>
      </c>
      <c r="I17" s="9">
        <f>IFERROR(__xludf.DUMMYFUNCTION("""COMPUTED_VALUE"""),45444.0)</f>
        <v>45444</v>
      </c>
      <c r="J17" s="9">
        <f>IFERROR(__xludf.DUMMYFUNCTION("""COMPUTED_VALUE"""),46539.0)</f>
        <v>46539</v>
      </c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7" t="str">
        <f>IFERROR(__xludf.DUMMYFUNCTION("""COMPUTED_VALUE"""),"BRADBURY")</f>
        <v>BRADBURY</v>
      </c>
      <c r="B18" s="8" t="str">
        <f>IFERROR(__xludf.DUMMYFUNCTION("""COMPUTED_VALUE"""),"KELLY")</f>
        <v>KELLY</v>
      </c>
      <c r="C18" s="8" t="str">
        <f>IFERROR(__xludf.DUMMYFUNCTION("""COMPUTED_VALUE"""),"FRUITLAND PARK")</f>
        <v>FRUITLAND PARK</v>
      </c>
      <c r="D18" s="8" t="str">
        <f>IFERROR(__xludf.DUMMYFUNCTION("""COMPUTED_VALUE"""),"FL")</f>
        <v>FL</v>
      </c>
      <c r="E18" s="8" t="str">
        <f>IFERROR(__xludf.DUMMYFUNCTION("""COMPUTED_VALUE"""),"USA")</f>
        <v>USA</v>
      </c>
      <c r="F18" s="8" t="str">
        <f>IFERROR(__xludf.DUMMYFUNCTION("""COMPUTED_VALUE"""),"WOMENS DBLS COMBO")</f>
        <v>WOMENS DBLS COMBO</v>
      </c>
      <c r="G18" s="8" t="str">
        <f>IFERROR(__xludf.DUMMYFUNCTION("""COMPUTED_VALUE"""),"3RD")</f>
        <v>3RD</v>
      </c>
      <c r="H18" s="8" t="str">
        <f>IFERROR(__xludf.DUMMYFUNCTION("""COMPUTED_VALUE"""),"FL REGIONAL BS 36")</f>
        <v>FL REGIONAL BS 36</v>
      </c>
      <c r="I18" s="9">
        <f>IFERROR(__xludf.DUMMYFUNCTION("""COMPUTED_VALUE"""),44713.0)</f>
        <v>44713</v>
      </c>
      <c r="J18" s="9">
        <f>IFERROR(__xludf.DUMMYFUNCTION("""COMPUTED_VALUE"""),45809.0)</f>
        <v>45809</v>
      </c>
      <c r="K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7" t="str">
        <f>IFERROR(__xludf.DUMMYFUNCTION("""COMPUTED_VALUE"""),"BRAGG")</f>
        <v>BRAGG</v>
      </c>
      <c r="B19" s="8" t="str">
        <f>IFERROR(__xludf.DUMMYFUNCTION("""COMPUTED_VALUE"""),"VAL")</f>
        <v>VAL</v>
      </c>
      <c r="C19" s="8" t="str">
        <f>IFERROR(__xludf.DUMMYFUNCTION("""COMPUTED_VALUE"""),"MORRISONVILLE")</f>
        <v>MORRISONVILLE</v>
      </c>
      <c r="D19" s="8" t="str">
        <f>IFERROR(__xludf.DUMMYFUNCTION("""COMPUTED_VALUE"""),"NY")</f>
        <v>NY</v>
      </c>
      <c r="E19" s="8" t="str">
        <f>IFERROR(__xludf.DUMMYFUNCTION("""COMPUTED_VALUE"""),"USA")</f>
        <v>USA</v>
      </c>
      <c r="F19" s="8" t="str">
        <f>IFERROR(__xludf.DUMMYFUNCTION("""COMPUTED_VALUE"""),"WOMENS SNG COMBO")</f>
        <v>WOMENS SNG COMBO</v>
      </c>
      <c r="G19" s="8" t="str">
        <f>IFERROR(__xludf.DUMMYFUNCTION("""COMPUTED_VALUE"""),"1ST")</f>
        <v>1ST</v>
      </c>
      <c r="H19" s="8" t="str">
        <f>IFERROR(__xludf.DUMMYFUNCTION("""COMPUTED_VALUE"""),"BULLSHOOTER 36 FINALS")</f>
        <v>BULLSHOOTER 36 FINALS</v>
      </c>
      <c r="I19" s="9">
        <f>IFERROR(__xludf.DUMMYFUNCTION("""COMPUTED_VALUE"""),45444.0)</f>
        <v>45444</v>
      </c>
      <c r="J19" s="9">
        <f>IFERROR(__xludf.DUMMYFUNCTION("""COMPUTED_VALUE"""),46539.0)</f>
        <v>46539</v>
      </c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7" t="str">
        <f>IFERROR(__xludf.DUMMYFUNCTION("""COMPUTED_VALUE"""),"BRAY")</f>
        <v>BRAY</v>
      </c>
      <c r="B20" s="8" t="str">
        <f>IFERROR(__xludf.DUMMYFUNCTION("""COMPUTED_VALUE"""),"JERI")</f>
        <v>JERI</v>
      </c>
      <c r="C20" s="8" t="str">
        <f>IFERROR(__xludf.DUMMYFUNCTION("""COMPUTED_VALUE"""),"OMAHA")</f>
        <v>OMAHA</v>
      </c>
      <c r="D20" s="8" t="str">
        <f>IFERROR(__xludf.DUMMYFUNCTION("""COMPUTED_VALUE"""),"NE")</f>
        <v>NE</v>
      </c>
      <c r="E20" s="8" t="str">
        <f>IFERROR(__xludf.DUMMYFUNCTION("""COMPUTED_VALUE"""),"USA")</f>
        <v>USA</v>
      </c>
      <c r="F20" s="8" t="str">
        <f>IFERROR(__xludf.DUMMYFUNCTION("""COMPUTED_VALUE"""),"WOMEN B COMBO LUCK")</f>
        <v>WOMEN B COMBO LUCK</v>
      </c>
      <c r="G20" s="8" t="str">
        <f>IFERROR(__xludf.DUMMYFUNCTION("""COMPUTED_VALUE"""),"3")</f>
        <v>3</v>
      </c>
      <c r="H20" s="8" t="str">
        <f>IFERROR(__xludf.DUMMYFUNCTION("""COMPUTED_VALUE"""),"BS 37 FINALS")</f>
        <v>BS 37 FINALS</v>
      </c>
      <c r="I20" s="9">
        <f>IFERROR(__xludf.DUMMYFUNCTION("""COMPUTED_VALUE"""),45078.0)</f>
        <v>45078</v>
      </c>
      <c r="J20" s="9">
        <f>IFERROR(__xludf.DUMMYFUNCTION("""COMPUTED_VALUE"""),46174.0)</f>
        <v>46174</v>
      </c>
      <c r="K20" s="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7" t="str">
        <f>IFERROR(__xludf.DUMMYFUNCTION("""COMPUTED_VALUE"""),"BRECKINFELDER")</f>
        <v>BRECKINFELDER</v>
      </c>
      <c r="B21" s="8" t="str">
        <f>IFERROR(__xludf.DUMMYFUNCTION("""COMPUTED_VALUE"""),"CATHY")</f>
        <v>CATHY</v>
      </c>
      <c r="C21" s="8" t="str">
        <f>IFERROR(__xludf.DUMMYFUNCTION("""COMPUTED_VALUE"""),"PEORIA")</f>
        <v>PEORIA</v>
      </c>
      <c r="D21" s="8" t="str">
        <f>IFERROR(__xludf.DUMMYFUNCTION("""COMPUTED_VALUE"""),"AZ")</f>
        <v>AZ</v>
      </c>
      <c r="E21" s="8" t="str">
        <f>IFERROR(__xludf.DUMMYFUNCTION("""COMPUTED_VALUE"""),"USA")</f>
        <v>USA</v>
      </c>
      <c r="F21" s="8" t="str">
        <f>IFERROR(__xludf.DUMMYFUNCTION("""COMPUTED_VALUE"""),"WOMENS DBLS COMBO")</f>
        <v>WOMENS DBLS COMBO</v>
      </c>
      <c r="G21" s="8" t="str">
        <f>IFERROR(__xludf.DUMMYFUNCTION("""COMPUTED_VALUE"""),"3RD")</f>
        <v>3RD</v>
      </c>
      <c r="H21" s="8" t="str">
        <f>IFERROR(__xludf.DUMMYFUNCTION("""COMPUTED_VALUE"""),"AZ REGIONAL BS 36")</f>
        <v>AZ REGIONAL BS 36</v>
      </c>
      <c r="I21" s="9">
        <f>IFERROR(__xludf.DUMMYFUNCTION("""COMPUTED_VALUE"""),44713.0)</f>
        <v>44713</v>
      </c>
      <c r="J21" s="9">
        <f>IFERROR(__xludf.DUMMYFUNCTION("""COMPUTED_VALUE"""),45809.0)</f>
        <v>45809</v>
      </c>
      <c r="K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7" t="str">
        <f>IFERROR(__xludf.DUMMYFUNCTION("""COMPUTED_VALUE"""),"BROWDER")</f>
        <v>BROWDER</v>
      </c>
      <c r="B22" s="8" t="str">
        <f>IFERROR(__xludf.DUMMYFUNCTION("""COMPUTED_VALUE"""),"HEATHER")</f>
        <v>HEATHER</v>
      </c>
      <c r="C22" s="8" t="str">
        <f>IFERROR(__xludf.DUMMYFUNCTION("""COMPUTED_VALUE"""),"LA PORTE")</f>
        <v>LA PORTE</v>
      </c>
      <c r="D22" s="8" t="str">
        <f>IFERROR(__xludf.DUMMYFUNCTION("""COMPUTED_VALUE"""),"IN")</f>
        <v>IN</v>
      </c>
      <c r="E22" s="8" t="str">
        <f>IFERROR(__xludf.DUMMYFUNCTION("""COMPUTED_VALUE"""),"USA")</f>
        <v>USA</v>
      </c>
      <c r="F22" s="8" t="str">
        <f>IFERROR(__xludf.DUMMYFUNCTION("""COMPUTED_VALUE"""),"WOMENS DBLS 301")</f>
        <v>WOMENS DBLS 301</v>
      </c>
      <c r="G22" s="8" t="str">
        <f>IFERROR(__xludf.DUMMYFUNCTION("""COMPUTED_VALUE"""),"3RD")</f>
        <v>3RD</v>
      </c>
      <c r="H22" s="8" t="str">
        <f>IFERROR(__xludf.DUMMYFUNCTION("""COMPUTED_VALUE"""),"IN REGIONAL BS 36")</f>
        <v>IN REGIONAL BS 36</v>
      </c>
      <c r="I22" s="9">
        <f>IFERROR(__xludf.DUMMYFUNCTION("""COMPUTED_VALUE"""),44713.0)</f>
        <v>44713</v>
      </c>
      <c r="J22" s="9">
        <f>IFERROR(__xludf.DUMMYFUNCTION("""COMPUTED_VALUE"""),45809.0)</f>
        <v>45809</v>
      </c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7" t="str">
        <f>IFERROR(__xludf.DUMMYFUNCTION("""COMPUTED_VALUE"""),"BROWN")</f>
        <v>BROWN</v>
      </c>
      <c r="B23" s="8" t="str">
        <f>IFERROR(__xludf.DUMMYFUNCTION("""COMPUTED_VALUE"""),"JESSICA")</f>
        <v>JESSICA</v>
      </c>
      <c r="C23" s="8" t="str">
        <f>IFERROR(__xludf.DUMMYFUNCTION("""COMPUTED_VALUE"""),"PLATTSBURGH")</f>
        <v>PLATTSBURGH</v>
      </c>
      <c r="D23" s="8" t="str">
        <f>IFERROR(__xludf.DUMMYFUNCTION("""COMPUTED_VALUE"""),"NY")</f>
        <v>NY</v>
      </c>
      <c r="E23" s="8" t="str">
        <f>IFERROR(__xludf.DUMMYFUNCTION("""COMPUTED_VALUE"""),"USA")</f>
        <v>USA</v>
      </c>
      <c r="F23" s="8" t="str">
        <f>IFERROR(__xludf.DUMMYFUNCTION("""COMPUTED_VALUE"""),"WOMEN DBLS 301")</f>
        <v>WOMEN DBLS 301</v>
      </c>
      <c r="G23" s="8" t="str">
        <f>IFERROR(__xludf.DUMMYFUNCTION("""COMPUTED_VALUE"""),"3RD")</f>
        <v>3RD</v>
      </c>
      <c r="H23" s="8" t="str">
        <f>IFERROR(__xludf.DUMMYFUNCTION("""COMPUTED_VALUE"""),"NY REGIONAL BS 38")</f>
        <v>NY REGIONAL BS 38</v>
      </c>
      <c r="I23" s="9">
        <f>IFERROR(__xludf.DUMMYFUNCTION("""COMPUTED_VALUE"""),45444.0)</f>
        <v>45444</v>
      </c>
      <c r="J23" s="9">
        <f>IFERROR(__xludf.DUMMYFUNCTION("""COMPUTED_VALUE"""),46539.0)</f>
        <v>46539</v>
      </c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7" t="str">
        <f>IFERROR(__xludf.DUMMYFUNCTION("""COMPUTED_VALUE"""),"BROYLES")</f>
        <v>BROYLES</v>
      </c>
      <c r="B24" s="8" t="str">
        <f>IFERROR(__xludf.DUMMYFUNCTION("""COMPUTED_VALUE"""),"SARAH")</f>
        <v>SARAH</v>
      </c>
      <c r="C24" s="8" t="str">
        <f>IFERROR(__xludf.DUMMYFUNCTION("""COMPUTED_VALUE"""),"INDEPENDENCE")</f>
        <v>INDEPENDENCE</v>
      </c>
      <c r="D24" s="8" t="str">
        <f>IFERROR(__xludf.DUMMYFUNCTION("""COMPUTED_VALUE"""),"MO")</f>
        <v>MO</v>
      </c>
      <c r="E24" s="8" t="str">
        <f>IFERROR(__xludf.DUMMYFUNCTION("""COMPUTED_VALUE"""),"USA")</f>
        <v>USA</v>
      </c>
      <c r="F24" s="8" t="str">
        <f>IFERROR(__xludf.DUMMYFUNCTION("""COMPUTED_VALUE"""),"WOMEN B COMBO LUCK")</f>
        <v>WOMEN B COMBO LUCK</v>
      </c>
      <c r="G24" s="8" t="str">
        <f>IFERROR(__xludf.DUMMYFUNCTION("""COMPUTED_VALUE"""),"4")</f>
        <v>4</v>
      </c>
      <c r="H24" s="8" t="str">
        <f>IFERROR(__xludf.DUMMYFUNCTION("""COMPUTED_VALUE"""),"BS 37 FINALS")</f>
        <v>BS 37 FINALS</v>
      </c>
      <c r="I24" s="9">
        <f>IFERROR(__xludf.DUMMYFUNCTION("""COMPUTED_VALUE"""),45078.0)</f>
        <v>45078</v>
      </c>
      <c r="J24" s="9">
        <f>IFERROR(__xludf.DUMMYFUNCTION("""COMPUTED_VALUE"""),46174.0)</f>
        <v>46174</v>
      </c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11" t="str">
        <f>IFERROR(__xludf.DUMMYFUNCTION("""COMPUTED_VALUE"""),"BURCHFIELD")</f>
        <v>BURCHFIELD</v>
      </c>
      <c r="B25" s="12" t="str">
        <f>IFERROR(__xludf.DUMMYFUNCTION("""COMPUTED_VALUE"""),"MICHELLE")</f>
        <v>MICHELLE</v>
      </c>
      <c r="C25" s="12" t="str">
        <f>IFERROR(__xludf.DUMMYFUNCTION("""COMPUTED_VALUE"""),"CARPENTERSVILLE")</f>
        <v>CARPENTERSVILLE</v>
      </c>
      <c r="D25" s="12" t="str">
        <f>IFERROR(__xludf.DUMMYFUNCTION("""COMPUTED_VALUE"""),"IL")</f>
        <v>IL</v>
      </c>
      <c r="E25" s="12" t="str">
        <f>IFERROR(__xludf.DUMMYFUNCTION("""COMPUTED_VALUE"""),"USA")</f>
        <v>USA</v>
      </c>
      <c r="F25" s="12" t="str">
        <f>IFERROR(__xludf.DUMMYFUNCTION("""COMPUTED_VALUE"""),"TG MIXED TRIPLES 701")</f>
        <v>TG MIXED TRIPLES 701</v>
      </c>
      <c r="G25" s="12" t="str">
        <f>IFERROR(__xludf.DUMMYFUNCTION("""COMPUTED_VALUE"""),"3RD")</f>
        <v>3RD</v>
      </c>
      <c r="H25" s="12" t="str">
        <f>IFERROR(__xludf.DUMMYFUNCTION("""COMPUTED_VALUE"""),"BS 38 FINALS")</f>
        <v>BS 38 FINALS</v>
      </c>
      <c r="I25" s="14">
        <f>IFERROR(__xludf.DUMMYFUNCTION("""COMPUTED_VALUE"""),45444.0)</f>
        <v>45444</v>
      </c>
      <c r="J25" s="14">
        <f>IFERROR(__xludf.DUMMYFUNCTION("""COMPUTED_VALUE"""),46539.0)</f>
        <v>46539</v>
      </c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7" t="str">
        <f>IFERROR(__xludf.DUMMYFUNCTION("""COMPUTED_VALUE"""),"Burgess")</f>
        <v>Burgess</v>
      </c>
      <c r="B26" s="8" t="str">
        <f>IFERROR(__xludf.DUMMYFUNCTION("""COMPUTED_VALUE"""),"Jennifer")</f>
        <v>Jennifer</v>
      </c>
      <c r="C26" s="8"/>
      <c r="D26" s="8"/>
      <c r="E26" s="8" t="str">
        <f>IFERROR(__xludf.DUMMYFUNCTION("""COMPUTED_VALUE"""),"USA")</f>
        <v>USA</v>
      </c>
      <c r="F26" s="8"/>
      <c r="G26" s="8"/>
      <c r="H26" s="8" t="str">
        <f>IFERROR(__xludf.DUMMYFUNCTION("""COMPUTED_VALUE"""),"ADO Top 25 2020")</f>
        <v>ADO Top 25 2020</v>
      </c>
      <c r="I26" s="9">
        <f>IFERROR(__xludf.DUMMYFUNCTION("""COMPUTED_VALUE"""),44348.0)</f>
        <v>44348</v>
      </c>
      <c r="J26" s="9">
        <f>IFERROR(__xludf.DUMMYFUNCTION("""COMPUTED_VALUE"""),46539.0)</f>
        <v>46539</v>
      </c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7" t="str">
        <f>IFERROR(__xludf.DUMMYFUNCTION("""COMPUTED_VALUE"""),"BURKE")</f>
        <v>BURKE</v>
      </c>
      <c r="B27" s="8" t="str">
        <f>IFERROR(__xludf.DUMMYFUNCTION("""COMPUTED_VALUE"""),"CHARITY")</f>
        <v>CHARITY</v>
      </c>
      <c r="C27" s="8" t="str">
        <f>IFERROR(__xludf.DUMMYFUNCTION("""COMPUTED_VALUE"""),"COLORADO SPRINGS")</f>
        <v>COLORADO SPRINGS</v>
      </c>
      <c r="D27" s="8" t="str">
        <f>IFERROR(__xludf.DUMMYFUNCTION("""COMPUTED_VALUE"""),"CO")</f>
        <v>CO</v>
      </c>
      <c r="E27" s="8" t="str">
        <f>IFERROR(__xludf.DUMMYFUNCTION("""COMPUTED_VALUE"""),"USA")</f>
        <v>USA</v>
      </c>
      <c r="F27" s="8" t="str">
        <f>IFERROR(__xludf.DUMMYFUNCTION("""COMPUTED_VALUE"""),"WOMENS DBLS COMBO")</f>
        <v>WOMENS DBLS COMBO</v>
      </c>
      <c r="G27" s="8" t="str">
        <f>IFERROR(__xludf.DUMMYFUNCTION("""COMPUTED_VALUE"""),"1ST")</f>
        <v>1ST</v>
      </c>
      <c r="H27" s="8" t="str">
        <f>IFERROR(__xludf.DUMMYFUNCTION("""COMPUTED_VALUE"""),"WY REGIONAL BS 36")</f>
        <v>WY REGIONAL BS 36</v>
      </c>
      <c r="I27" s="9">
        <f>IFERROR(__xludf.DUMMYFUNCTION("""COMPUTED_VALUE"""),44713.0)</f>
        <v>44713</v>
      </c>
      <c r="J27" s="9">
        <f>IFERROR(__xludf.DUMMYFUNCTION("""COMPUTED_VALUE"""),45809.0)</f>
        <v>45809</v>
      </c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7" t="str">
        <f>IFERROR(__xludf.DUMMYFUNCTION("""COMPUTED_VALUE"""),"CADY")</f>
        <v>CADY</v>
      </c>
      <c r="B28" s="8" t="str">
        <f>IFERROR(__xludf.DUMMYFUNCTION("""COMPUTED_VALUE"""),"DONNA")</f>
        <v>DONNA</v>
      </c>
      <c r="C28" s="8" t="str">
        <f>IFERROR(__xludf.DUMMYFUNCTION("""COMPUTED_VALUE"""),"HOUSTON")</f>
        <v>HOUSTON</v>
      </c>
      <c r="D28" s="8" t="str">
        <f>IFERROR(__xludf.DUMMYFUNCTION("""COMPUTED_VALUE"""),"TX")</f>
        <v>TX</v>
      </c>
      <c r="E28" s="8" t="str">
        <f>IFERROR(__xludf.DUMMYFUNCTION("""COMPUTED_VALUE"""),"USA")</f>
        <v>USA</v>
      </c>
      <c r="F28" s="8" t="str">
        <f>IFERROR(__xludf.DUMMYFUNCTION("""COMPUTED_VALUE"""),"WOMEN DBLS COMBO")</f>
        <v>WOMEN DBLS COMBO</v>
      </c>
      <c r="G28" s="8" t="str">
        <f>IFERROR(__xludf.DUMMYFUNCTION("""COMPUTED_VALUE"""),"3RD")</f>
        <v>3RD</v>
      </c>
      <c r="H28" s="8" t="str">
        <f>IFERROR(__xludf.DUMMYFUNCTION("""COMPUTED_VALUE"""),"TX REGIONAL BS 38")</f>
        <v>TX REGIONAL BS 38</v>
      </c>
      <c r="I28" s="9">
        <f>IFERROR(__xludf.DUMMYFUNCTION("""COMPUTED_VALUE"""),45444.0)</f>
        <v>45444</v>
      </c>
      <c r="J28" s="9">
        <f>IFERROR(__xludf.DUMMYFUNCTION("""COMPUTED_VALUE"""),46539.0)</f>
        <v>46539</v>
      </c>
      <c r="K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7" t="str">
        <f>IFERROR(__xludf.DUMMYFUNCTION("""COMPUTED_VALUE"""),"Carl")</f>
        <v>Carl</v>
      </c>
      <c r="B29" s="8" t="str">
        <f>IFERROR(__xludf.DUMMYFUNCTION("""COMPUTED_VALUE"""),"Angela")</f>
        <v>Angela</v>
      </c>
      <c r="C29" s="8" t="str">
        <f>IFERROR(__xludf.DUMMYFUNCTION("""COMPUTED_VALUE"""),"Hegans")</f>
        <v>Hegans</v>
      </c>
      <c r="D29" s="8" t="str">
        <f>IFERROR(__xludf.DUMMYFUNCTION("""COMPUTED_VALUE"""),"PA")</f>
        <v>PA</v>
      </c>
      <c r="E29" s="8" t="str">
        <f>IFERROR(__xludf.DUMMYFUNCTION("""COMPUTED_VALUE"""),"USA")</f>
        <v>USA</v>
      </c>
      <c r="F29" s="8" t="str">
        <f>IFERROR(__xludf.DUMMYFUNCTION("""COMPUTED_VALUE"""),"WOMENS DBLS 301")</f>
        <v>WOMENS DBLS 301</v>
      </c>
      <c r="G29" s="8" t="str">
        <f>IFERROR(__xludf.DUMMYFUNCTION("""COMPUTED_VALUE"""),"1ST")</f>
        <v>1ST</v>
      </c>
      <c r="H29" s="8" t="str">
        <f>IFERROR(__xludf.DUMMYFUNCTION("""COMPUTED_VALUE"""),"PA REGIONAL BS 36")</f>
        <v>PA REGIONAL BS 36</v>
      </c>
      <c r="I29" s="9">
        <f>IFERROR(__xludf.DUMMYFUNCTION("""COMPUTED_VALUE"""),43617.0)</f>
        <v>43617</v>
      </c>
      <c r="J29" s="9">
        <f>IFERROR(__xludf.DUMMYFUNCTION("""COMPUTED_VALUE"""),45809.0)</f>
        <v>45809</v>
      </c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7" t="str">
        <f>IFERROR(__xludf.DUMMYFUNCTION("""COMPUTED_VALUE"""),"CARLI")</f>
        <v>CARLI</v>
      </c>
      <c r="B30" s="8" t="str">
        <f>IFERROR(__xludf.DUMMYFUNCTION("""COMPUTED_VALUE"""),"ANGELA")</f>
        <v>ANGELA</v>
      </c>
      <c r="C30" s="8" t="str">
        <f>IFERROR(__xludf.DUMMYFUNCTION("""COMPUTED_VALUE"""),"HEGINS")</f>
        <v>HEGINS</v>
      </c>
      <c r="D30" s="8" t="str">
        <f>IFERROR(__xludf.DUMMYFUNCTION("""COMPUTED_VALUE"""),"PA")</f>
        <v>PA</v>
      </c>
      <c r="E30" s="8" t="str">
        <f>IFERROR(__xludf.DUMMYFUNCTION("""COMPUTED_VALUE"""),"USA")</f>
        <v>USA</v>
      </c>
      <c r="F30" s="8" t="str">
        <f>IFERROR(__xludf.DUMMYFUNCTION("""COMPUTED_VALUE"""),"WOMENS 301 DBLS")</f>
        <v>WOMENS 301 DBLS</v>
      </c>
      <c r="G30" s="8" t="str">
        <f>IFERROR(__xludf.DUMMYFUNCTION("""COMPUTED_VALUE"""),"1")</f>
        <v>1</v>
      </c>
      <c r="H30" s="8" t="str">
        <f>IFERROR(__xludf.DUMMYFUNCTION("""COMPUTED_VALUE"""),"BS 37 PA")</f>
        <v>BS 37 PA</v>
      </c>
      <c r="I30" s="9">
        <f>IFERROR(__xludf.DUMMYFUNCTION("""COMPUTED_VALUE"""),45078.0)</f>
        <v>45078</v>
      </c>
      <c r="J30" s="9">
        <f>IFERROR(__xludf.DUMMYFUNCTION("""COMPUTED_VALUE"""),46174.0)</f>
        <v>46174</v>
      </c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11" t="str">
        <f>IFERROR(__xludf.DUMMYFUNCTION("""COMPUTED_VALUE"""),"CARLTON")</f>
        <v>CARLTON</v>
      </c>
      <c r="B31" s="12" t="str">
        <f>IFERROR(__xludf.DUMMYFUNCTION("""COMPUTED_VALUE"""),"JENNIFER")</f>
        <v>JENNIFER</v>
      </c>
      <c r="C31" s="12" t="str">
        <f>IFERROR(__xludf.DUMMYFUNCTION("""COMPUTED_VALUE"""),"POWELL")</f>
        <v>POWELL</v>
      </c>
      <c r="D31" s="12" t="str">
        <f>IFERROR(__xludf.DUMMYFUNCTION("""COMPUTED_VALUE"""),"TN")</f>
        <v>TN</v>
      </c>
      <c r="E31" s="12" t="str">
        <f>IFERROR(__xludf.DUMMYFUNCTION("""COMPUTED_VALUE"""),"USA")</f>
        <v>USA</v>
      </c>
      <c r="F31" s="12" t="str">
        <f>IFERROR(__xludf.DUMMYFUNCTION("""COMPUTED_VALUE"""),"WOMEN DBLS COMBO")</f>
        <v>WOMEN DBLS COMBO</v>
      </c>
      <c r="G31" s="12" t="str">
        <f>IFERROR(__xludf.DUMMYFUNCTION("""COMPUTED_VALUE"""),"2ND")</f>
        <v>2ND</v>
      </c>
      <c r="H31" s="12" t="str">
        <f>IFERROR(__xludf.DUMMYFUNCTION("""COMPUTED_VALUE"""),"TN REGIONAL BS 38")</f>
        <v>TN REGIONAL BS 38</v>
      </c>
      <c r="I31" s="14">
        <f>IFERROR(__xludf.DUMMYFUNCTION("""COMPUTED_VALUE"""),45444.0)</f>
        <v>45444</v>
      </c>
      <c r="J31" s="14">
        <f>IFERROR(__xludf.DUMMYFUNCTION("""COMPUTED_VALUE"""),46539.0)</f>
        <v>46539</v>
      </c>
      <c r="K31" s="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7" t="str">
        <f>IFERROR(__xludf.DUMMYFUNCTION("""COMPUTED_VALUE"""),"Cervantes")</f>
        <v>Cervantes</v>
      </c>
      <c r="B32" s="8" t="str">
        <f>IFERROR(__xludf.DUMMYFUNCTION("""COMPUTED_VALUE"""),"Megan")</f>
        <v>Megan</v>
      </c>
      <c r="C32" s="8" t="str">
        <f>IFERROR(__xludf.DUMMYFUNCTION("""COMPUTED_VALUE"""),"Navasota")</f>
        <v>Navasota</v>
      </c>
      <c r="D32" s="8" t="str">
        <f>IFERROR(__xludf.DUMMYFUNCTION("""COMPUTED_VALUE"""),"TX")</f>
        <v>TX</v>
      </c>
      <c r="E32" s="8" t="str">
        <f>IFERROR(__xludf.DUMMYFUNCTION("""COMPUTED_VALUE"""),"USA")</f>
        <v>USA</v>
      </c>
      <c r="F32" s="8" t="str">
        <f>IFERROR(__xludf.DUMMYFUNCTION("""COMPUTED_VALUE"""),"WOMENS SINGLES COMBO")</f>
        <v>WOMENS SINGLES COMBO</v>
      </c>
      <c r="G32" s="8" t="str">
        <f>IFERROR(__xludf.DUMMYFUNCTION("""COMPUTED_VALUE"""),"1st")</f>
        <v>1st</v>
      </c>
      <c r="H32" s="8" t="str">
        <f>IFERROR(__xludf.DUMMYFUNCTION("""COMPUTED_VALUE"""),"TX REGIONAL BS 36")</f>
        <v>TX REGIONAL BS 36</v>
      </c>
      <c r="I32" s="9">
        <f>IFERROR(__xludf.DUMMYFUNCTION("""COMPUTED_VALUE"""),43983.0)</f>
        <v>43983</v>
      </c>
      <c r="J32" s="9">
        <f>IFERROR(__xludf.DUMMYFUNCTION("""COMPUTED_VALUE"""),45809.0)</f>
        <v>45809</v>
      </c>
      <c r="K32" s="10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7" t="str">
        <f>IFERROR(__xludf.DUMMYFUNCTION("""COMPUTED_VALUE"""),"CHERRY")</f>
        <v>CHERRY</v>
      </c>
      <c r="B33" s="8" t="str">
        <f>IFERROR(__xludf.DUMMYFUNCTION("""COMPUTED_VALUE"""),"HAILEY")</f>
        <v>HAILEY</v>
      </c>
      <c r="C33" s="8" t="str">
        <f>IFERROR(__xludf.DUMMYFUNCTION("""COMPUTED_VALUE"""),"PENSACOLA")</f>
        <v>PENSACOLA</v>
      </c>
      <c r="D33" s="8" t="str">
        <f>IFERROR(__xludf.DUMMYFUNCTION("""COMPUTED_VALUE"""),"FL")</f>
        <v>FL</v>
      </c>
      <c r="E33" s="8" t="str">
        <f>IFERROR(__xludf.DUMMYFUNCTION("""COMPUTED_VALUE"""),"USA")</f>
        <v>USA</v>
      </c>
      <c r="F33" s="8" t="str">
        <f>IFERROR(__xludf.DUMMYFUNCTION("""COMPUTED_VALUE"""),"WOMENS 301 DBLS")</f>
        <v>WOMENS 301 DBLS</v>
      </c>
      <c r="G33" s="8" t="str">
        <f>IFERROR(__xludf.DUMMYFUNCTION("""COMPUTED_VALUE"""),"2")</f>
        <v>2</v>
      </c>
      <c r="H33" s="8" t="str">
        <f>IFERROR(__xludf.DUMMYFUNCTION("""COMPUTED_VALUE"""),"BS 37 OH")</f>
        <v>BS 37 OH</v>
      </c>
      <c r="I33" s="9">
        <f>IFERROR(__xludf.DUMMYFUNCTION("""COMPUTED_VALUE"""),45078.0)</f>
        <v>45078</v>
      </c>
      <c r="J33" s="9">
        <f>IFERROR(__xludf.DUMMYFUNCTION("""COMPUTED_VALUE"""),46174.0)</f>
        <v>46174</v>
      </c>
      <c r="K33" s="10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7" t="str">
        <f>IFERROR(__xludf.DUMMYFUNCTION("""COMPUTED_VALUE"""),"CHERRY")</f>
        <v>CHERRY</v>
      </c>
      <c r="B34" s="8" t="str">
        <f>IFERROR(__xludf.DUMMYFUNCTION("""COMPUTED_VALUE"""),"JILLIAN")</f>
        <v>JILLIAN</v>
      </c>
      <c r="C34" s="8" t="str">
        <f>IFERROR(__xludf.DUMMYFUNCTION("""COMPUTED_VALUE"""),"MANSFIELD")</f>
        <v>MANSFIELD</v>
      </c>
      <c r="D34" s="8" t="str">
        <f>IFERROR(__xludf.DUMMYFUNCTION("""COMPUTED_VALUE"""),"OH")</f>
        <v>OH</v>
      </c>
      <c r="E34" s="8" t="str">
        <f>IFERROR(__xludf.DUMMYFUNCTION("""COMPUTED_VALUE"""),"USA")</f>
        <v>USA</v>
      </c>
      <c r="F34" s="8" t="str">
        <f>IFERROR(__xludf.DUMMYFUNCTION("""COMPUTED_VALUE"""),"WOMEN DBLS 301")</f>
        <v>WOMEN DBLS 301</v>
      </c>
      <c r="G34" s="8" t="str">
        <f>IFERROR(__xludf.DUMMYFUNCTION("""COMPUTED_VALUE"""),"2ND")</f>
        <v>2ND</v>
      </c>
      <c r="H34" s="8" t="str">
        <f>IFERROR(__xludf.DUMMYFUNCTION("""COMPUTED_VALUE"""),"PA REGIONAL BS 38")</f>
        <v>PA REGIONAL BS 38</v>
      </c>
      <c r="I34" s="9">
        <f>IFERROR(__xludf.DUMMYFUNCTION("""COMPUTED_VALUE"""),45444.0)</f>
        <v>45444</v>
      </c>
      <c r="J34" s="9">
        <f>IFERROR(__xludf.DUMMYFUNCTION("""COMPUTED_VALUE"""),46539.0)</f>
        <v>46539</v>
      </c>
      <c r="K34" s="1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7" t="str">
        <f>IFERROR(__xludf.DUMMYFUNCTION("""COMPUTED_VALUE"""),"CHURCH")</f>
        <v>CHURCH</v>
      </c>
      <c r="B35" s="8" t="str">
        <f>IFERROR(__xludf.DUMMYFUNCTION("""COMPUTED_VALUE"""),"HEIDI")</f>
        <v>HEIDI</v>
      </c>
      <c r="C35" s="8" t="str">
        <f>IFERROR(__xludf.DUMMYFUNCTION("""COMPUTED_VALUE"""),"ALTOONA")</f>
        <v>ALTOONA</v>
      </c>
      <c r="D35" s="8" t="str">
        <f>IFERROR(__xludf.DUMMYFUNCTION("""COMPUTED_VALUE"""),"PA")</f>
        <v>PA</v>
      </c>
      <c r="E35" s="8" t="str">
        <f>IFERROR(__xludf.DUMMYFUNCTION("""COMPUTED_VALUE"""),"USA")</f>
        <v>USA</v>
      </c>
      <c r="F35" s="8" t="str">
        <f>IFERROR(__xludf.DUMMYFUNCTION("""COMPUTED_VALUE"""),"WOMEN DBLS COMBO")</f>
        <v>WOMEN DBLS COMBO</v>
      </c>
      <c r="G35" s="8" t="str">
        <f>IFERROR(__xludf.DUMMYFUNCTION("""COMPUTED_VALUE"""),"3RD'")</f>
        <v>3RD'</v>
      </c>
      <c r="H35" s="8" t="str">
        <f>IFERROR(__xludf.DUMMYFUNCTION("""COMPUTED_VALUE"""),"NY REGIONAL BS 38")</f>
        <v>NY REGIONAL BS 38</v>
      </c>
      <c r="I35" s="9">
        <f>IFERROR(__xludf.DUMMYFUNCTION("""COMPUTED_VALUE"""),45444.0)</f>
        <v>45444</v>
      </c>
      <c r="J35" s="9">
        <f>IFERROR(__xludf.DUMMYFUNCTION("""COMPUTED_VALUE"""),46539.0)</f>
        <v>46539</v>
      </c>
      <c r="K35" s="1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7" t="str">
        <f>IFERROR(__xludf.DUMMYFUNCTION("""COMPUTED_VALUE"""),"CLARK")</f>
        <v>CLARK</v>
      </c>
      <c r="B36" s="8" t="str">
        <f>IFERROR(__xludf.DUMMYFUNCTION("""COMPUTED_VALUE"""),"STEPHANIE")</f>
        <v>STEPHANIE</v>
      </c>
      <c r="C36" s="8" t="str">
        <f>IFERROR(__xludf.DUMMYFUNCTION("""COMPUTED_VALUE"""),"RACINE")</f>
        <v>RACINE</v>
      </c>
      <c r="D36" s="8" t="str">
        <f>IFERROR(__xludf.DUMMYFUNCTION("""COMPUTED_VALUE"""),"WI")</f>
        <v>WI</v>
      </c>
      <c r="E36" s="8" t="str">
        <f>IFERROR(__xludf.DUMMYFUNCTION("""COMPUTED_VALUE"""),"USA")</f>
        <v>USA</v>
      </c>
      <c r="F36" s="8" t="str">
        <f>IFERROR(__xludf.DUMMYFUNCTION("""COMPUTED_VALUE"""),"WOMEN B COMBO LUCK")</f>
        <v>WOMEN B COMBO LUCK</v>
      </c>
      <c r="G36" s="8" t="str">
        <f>IFERROR(__xludf.DUMMYFUNCTION("""COMPUTED_VALUE"""),"2ND")</f>
        <v>2ND</v>
      </c>
      <c r="H36" s="8" t="str">
        <f>IFERROR(__xludf.DUMMYFUNCTION("""COMPUTED_VALUE"""),"BS 38 FINALS")</f>
        <v>BS 38 FINALS</v>
      </c>
      <c r="I36" s="9">
        <f>IFERROR(__xludf.DUMMYFUNCTION("""COMPUTED_VALUE"""),45444.0)</f>
        <v>45444</v>
      </c>
      <c r="J36" s="9">
        <f>IFERROR(__xludf.DUMMYFUNCTION("""COMPUTED_VALUE"""),46539.0)</f>
        <v>46539</v>
      </c>
      <c r="K36" s="10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7" t="str">
        <f>IFERROR(__xludf.DUMMYFUNCTION("""COMPUTED_VALUE"""),"CLAYTON")</f>
        <v>CLAYTON</v>
      </c>
      <c r="B37" s="8" t="str">
        <f>IFERROR(__xludf.DUMMYFUNCTION("""COMPUTED_VALUE"""),"PENNY")</f>
        <v>PENNY</v>
      </c>
      <c r="C37" s="8" t="str">
        <f>IFERROR(__xludf.DUMMYFUNCTION("""COMPUTED_VALUE"""),"COLONA")</f>
        <v>COLONA</v>
      </c>
      <c r="D37" s="8" t="str">
        <f>IFERROR(__xludf.DUMMYFUNCTION("""COMPUTED_VALUE"""),"IL")</f>
        <v>IL</v>
      </c>
      <c r="E37" s="8" t="str">
        <f>IFERROR(__xludf.DUMMYFUNCTION("""COMPUTED_VALUE"""),"USA")</f>
        <v>USA</v>
      </c>
      <c r="F37" s="8" t="str">
        <f>IFERROR(__xludf.DUMMYFUNCTION("""COMPUTED_VALUE"""),"TOP GUN TRIPLES")</f>
        <v>TOP GUN TRIPLES</v>
      </c>
      <c r="G37" s="8" t="str">
        <f>IFERROR(__xludf.DUMMYFUNCTION("""COMPUTED_VALUE"""),"3RD")</f>
        <v>3RD</v>
      </c>
      <c r="H37" s="8" t="str">
        <f>IFERROR(__xludf.DUMMYFUNCTION("""COMPUTED_VALUE"""),"BULLSHOOTER 36 FINALS")</f>
        <v>BULLSHOOTER 36 FINALS</v>
      </c>
      <c r="I37" s="9">
        <f>IFERROR(__xludf.DUMMYFUNCTION("""COMPUTED_VALUE"""),44713.0)</f>
        <v>44713</v>
      </c>
      <c r="J37" s="9">
        <f>IFERROR(__xludf.DUMMYFUNCTION("""COMPUTED_VALUE"""),45809.0)</f>
        <v>45809</v>
      </c>
      <c r="K37" s="10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7" t="str">
        <f>IFERROR(__xludf.DUMMYFUNCTION("""COMPUTED_VALUE"""),"CLEVELAND")</f>
        <v>CLEVELAND</v>
      </c>
      <c r="B38" s="8" t="str">
        <f>IFERROR(__xludf.DUMMYFUNCTION("""COMPUTED_VALUE"""),"JENNIFER")</f>
        <v>JENNIFER</v>
      </c>
      <c r="C38" s="8" t="str">
        <f>IFERROR(__xludf.DUMMYFUNCTION("""COMPUTED_VALUE"""),"ACWORTH")</f>
        <v>ACWORTH</v>
      </c>
      <c r="D38" s="8" t="str">
        <f>IFERROR(__xludf.DUMMYFUNCTION("""COMPUTED_VALUE"""),"GA")</f>
        <v>GA</v>
      </c>
      <c r="E38" s="8" t="str">
        <f>IFERROR(__xludf.DUMMYFUNCTION("""COMPUTED_VALUE"""),"USA")</f>
        <v>USA</v>
      </c>
      <c r="F38" s="8" t="str">
        <f>IFERROR(__xludf.DUMMYFUNCTION("""COMPUTED_VALUE"""),"WOMEN DBLS COMBO")</f>
        <v>WOMEN DBLS COMBO</v>
      </c>
      <c r="G38" s="8" t="str">
        <f>IFERROR(__xludf.DUMMYFUNCTION("""COMPUTED_VALUE"""),"3RD")</f>
        <v>3RD</v>
      </c>
      <c r="H38" s="8" t="str">
        <f>IFERROR(__xludf.DUMMYFUNCTION("""COMPUTED_VALUE"""),"TN REGIONAL BS 38")</f>
        <v>TN REGIONAL BS 38</v>
      </c>
      <c r="I38" s="9">
        <f>IFERROR(__xludf.DUMMYFUNCTION("""COMPUTED_VALUE"""),45444.0)</f>
        <v>45444</v>
      </c>
      <c r="J38" s="9">
        <f>IFERROR(__xludf.DUMMYFUNCTION("""COMPUTED_VALUE"""),46539.0)</f>
        <v>46539</v>
      </c>
      <c r="K38" s="10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7" t="str">
        <f>IFERROR(__xludf.DUMMYFUNCTION("""COMPUTED_VALUE"""),"COCHRAN")</f>
        <v>COCHRAN</v>
      </c>
      <c r="B39" s="8" t="str">
        <f>IFERROR(__xludf.DUMMYFUNCTION("""COMPUTED_VALUE"""),"ANGIE")</f>
        <v>ANGIE</v>
      </c>
      <c r="C39" s="8" t="str">
        <f>IFERROR(__xludf.DUMMYFUNCTION("""COMPUTED_VALUE"""),"LOVELAND")</f>
        <v>LOVELAND</v>
      </c>
      <c r="D39" s="8" t="str">
        <f>IFERROR(__xludf.DUMMYFUNCTION("""COMPUTED_VALUE"""),"CO")</f>
        <v>CO</v>
      </c>
      <c r="E39" s="8" t="str">
        <f>IFERROR(__xludf.DUMMYFUNCTION("""COMPUTED_VALUE"""),"USA")</f>
        <v>USA</v>
      </c>
      <c r="F39" s="8" t="str">
        <f>IFERROR(__xludf.DUMMYFUNCTION("""COMPUTED_VALUE"""),"WOMENS DBLS 301")</f>
        <v>WOMENS DBLS 301</v>
      </c>
      <c r="G39" s="8" t="str">
        <f>IFERROR(__xludf.DUMMYFUNCTION("""COMPUTED_VALUE"""),"1ST")</f>
        <v>1ST</v>
      </c>
      <c r="H39" s="8" t="str">
        <f>IFERROR(__xludf.DUMMYFUNCTION("""COMPUTED_VALUE"""),"WY REGIONAL BS 36")</f>
        <v>WY REGIONAL BS 36</v>
      </c>
      <c r="I39" s="9">
        <f>IFERROR(__xludf.DUMMYFUNCTION("""COMPUTED_VALUE"""),44713.0)</f>
        <v>44713</v>
      </c>
      <c r="J39" s="9">
        <f>IFERROR(__xludf.DUMMYFUNCTION("""COMPUTED_VALUE"""),45809.0)</f>
        <v>45809</v>
      </c>
      <c r="K39" s="10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7" t="str">
        <f>IFERROR(__xludf.DUMMYFUNCTION("""COMPUTED_VALUE"""),"COLLINS")</f>
        <v>COLLINS</v>
      </c>
      <c r="B40" s="8" t="str">
        <f>IFERROR(__xludf.DUMMYFUNCTION("""COMPUTED_VALUE"""),"MARY BETH")</f>
        <v>MARY BETH</v>
      </c>
      <c r="C40" s="8" t="str">
        <f>IFERROR(__xludf.DUMMYFUNCTION("""COMPUTED_VALUE"""),"FT WAYNE")</f>
        <v>FT WAYNE</v>
      </c>
      <c r="D40" s="8" t="str">
        <f>IFERROR(__xludf.DUMMYFUNCTION("""COMPUTED_VALUE"""),"IN")</f>
        <v>IN</v>
      </c>
      <c r="E40" s="8" t="str">
        <f>IFERROR(__xludf.DUMMYFUNCTION("""COMPUTED_VALUE"""),"USA")</f>
        <v>USA</v>
      </c>
      <c r="F40" s="8" t="str">
        <f>IFERROR(__xludf.DUMMYFUNCTION("""COMPUTED_VALUE"""),"WOMENS 301 DBLS")</f>
        <v>WOMENS 301 DBLS</v>
      </c>
      <c r="G40" s="8" t="str">
        <f>IFERROR(__xludf.DUMMYFUNCTION("""COMPUTED_VALUE"""),"2")</f>
        <v>2</v>
      </c>
      <c r="H40" s="8" t="str">
        <f>IFERROR(__xludf.DUMMYFUNCTION("""COMPUTED_VALUE"""),"BS 37 OH")</f>
        <v>BS 37 OH</v>
      </c>
      <c r="I40" s="9">
        <f>IFERROR(__xludf.DUMMYFUNCTION("""COMPUTED_VALUE"""),45078.0)</f>
        <v>45078</v>
      </c>
      <c r="J40" s="9">
        <f>IFERROR(__xludf.DUMMYFUNCTION("""COMPUTED_VALUE"""),46174.0)</f>
        <v>46174</v>
      </c>
      <c r="K40" s="10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7" t="str">
        <f>IFERROR(__xludf.DUMMYFUNCTION("""COMPUTED_VALUE"""),"CONLAN")</f>
        <v>CONLAN</v>
      </c>
      <c r="B41" s="8" t="str">
        <f>IFERROR(__xludf.DUMMYFUNCTION("""COMPUTED_VALUE"""),"KRISTIN")</f>
        <v>KRISTIN</v>
      </c>
      <c r="C41" s="8" t="str">
        <f>IFERROR(__xludf.DUMMYFUNCTION("""COMPUTED_VALUE"""),"WATERTOWN")</f>
        <v>WATERTOWN</v>
      </c>
      <c r="D41" s="8" t="str">
        <f>IFERROR(__xludf.DUMMYFUNCTION("""COMPUTED_VALUE"""),"WI")</f>
        <v>WI</v>
      </c>
      <c r="E41" s="8" t="str">
        <f>IFERROR(__xludf.DUMMYFUNCTION("""COMPUTED_VALUE"""),"USA")</f>
        <v>USA</v>
      </c>
      <c r="F41" s="8" t="str">
        <f>IFERROR(__xludf.DUMMYFUNCTION("""COMPUTED_VALUE"""),"WOMENS DBLS 301")</f>
        <v>WOMENS DBLS 301</v>
      </c>
      <c r="G41" s="8" t="str">
        <f>IFERROR(__xludf.DUMMYFUNCTION("""COMPUTED_VALUE"""),"3RD")</f>
        <v>3RD</v>
      </c>
      <c r="H41" s="8" t="str">
        <f>IFERROR(__xludf.DUMMYFUNCTION("""COMPUTED_VALUE"""),"BULLSHOOTER 36 FINALS")</f>
        <v>BULLSHOOTER 36 FINALS</v>
      </c>
      <c r="I41" s="9">
        <f>IFERROR(__xludf.DUMMYFUNCTION("""COMPUTED_VALUE"""),44713.0)</f>
        <v>44713</v>
      </c>
      <c r="J41" s="9">
        <f>IFERROR(__xludf.DUMMYFUNCTION("""COMPUTED_VALUE"""),45809.0)</f>
        <v>45809</v>
      </c>
      <c r="K41" s="10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7" t="str">
        <f>IFERROR(__xludf.DUMMYFUNCTION("""COMPUTED_VALUE"""),"COONTZ")</f>
        <v>COONTZ</v>
      </c>
      <c r="B42" s="8" t="str">
        <f>IFERROR(__xludf.DUMMYFUNCTION("""COMPUTED_VALUE"""),"WANDA")</f>
        <v>WANDA</v>
      </c>
      <c r="C42" s="8" t="str">
        <f>IFERROR(__xludf.DUMMYFUNCTION("""COMPUTED_VALUE"""),"MANSFIELD")</f>
        <v>MANSFIELD</v>
      </c>
      <c r="D42" s="8" t="str">
        <f>IFERROR(__xludf.DUMMYFUNCTION("""COMPUTED_VALUE"""),"OH")</f>
        <v>OH</v>
      </c>
      <c r="E42" s="8" t="str">
        <f>IFERROR(__xludf.DUMMYFUNCTION("""COMPUTED_VALUE"""),"USA")</f>
        <v>USA</v>
      </c>
      <c r="F42" s="8" t="str">
        <f>IFERROR(__xludf.DUMMYFUNCTION("""COMPUTED_VALUE"""),"WOMENS DBLS COMBO")</f>
        <v>WOMENS DBLS COMBO</v>
      </c>
      <c r="G42" s="8" t="str">
        <f>IFERROR(__xludf.DUMMYFUNCTION("""COMPUTED_VALUE"""),"1ST")</f>
        <v>1ST</v>
      </c>
      <c r="H42" s="8" t="str">
        <f>IFERROR(__xludf.DUMMYFUNCTION("""COMPUTED_VALUE"""),"OH REGIONAL BS 38")</f>
        <v>OH REGIONAL BS 38</v>
      </c>
      <c r="I42" s="9">
        <f>IFERROR(__xludf.DUMMYFUNCTION("""COMPUTED_VALUE"""),45444.0)</f>
        <v>45444</v>
      </c>
      <c r="J42" s="9">
        <f>IFERROR(__xludf.DUMMYFUNCTION("""COMPUTED_VALUE"""),46539.0)</f>
        <v>46539</v>
      </c>
      <c r="K42" s="10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7" t="str">
        <f>IFERROR(__xludf.DUMMYFUNCTION("""COMPUTED_VALUE"""),"CORNISH")</f>
        <v>CORNISH</v>
      </c>
      <c r="B43" s="8" t="str">
        <f>IFERROR(__xludf.DUMMYFUNCTION("""COMPUTED_VALUE"""),"SUSAN")</f>
        <v>SUSAN</v>
      </c>
      <c r="C43" s="8" t="str">
        <f>IFERROR(__xludf.DUMMYFUNCTION("""COMPUTED_VALUE"""),"HAMMONDSPORT")</f>
        <v>HAMMONDSPORT</v>
      </c>
      <c r="D43" s="8" t="str">
        <f>IFERROR(__xludf.DUMMYFUNCTION("""COMPUTED_VALUE"""),"NY")</f>
        <v>NY</v>
      </c>
      <c r="E43" s="8" t="str">
        <f>IFERROR(__xludf.DUMMYFUNCTION("""COMPUTED_VALUE"""),"USA")</f>
        <v>USA</v>
      </c>
      <c r="F43" s="8" t="str">
        <f>IFERROR(__xludf.DUMMYFUNCTION("""COMPUTED_VALUE"""),"WOMEN DBLS COMBO")</f>
        <v>WOMEN DBLS COMBO</v>
      </c>
      <c r="G43" s="8" t="str">
        <f>IFERROR(__xludf.DUMMYFUNCTION("""COMPUTED_VALUE"""),"2ND")</f>
        <v>2ND</v>
      </c>
      <c r="H43" s="8" t="str">
        <f>IFERROR(__xludf.DUMMYFUNCTION("""COMPUTED_VALUE"""),"NY REGIONAL BS 38")</f>
        <v>NY REGIONAL BS 38</v>
      </c>
      <c r="I43" s="9">
        <f>IFERROR(__xludf.DUMMYFUNCTION("""COMPUTED_VALUE"""),45444.0)</f>
        <v>45444</v>
      </c>
      <c r="J43" s="9">
        <f>IFERROR(__xludf.DUMMYFUNCTION("""COMPUTED_VALUE"""),46539.0)</f>
        <v>46539</v>
      </c>
      <c r="K43" s="1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11" t="str">
        <f>IFERROR(__xludf.DUMMYFUNCTION("""COMPUTED_VALUE"""),"CRADDOCK")</f>
        <v>CRADDOCK</v>
      </c>
      <c r="B44" s="12" t="str">
        <f>IFERROR(__xludf.DUMMYFUNCTION("""COMPUTED_VALUE"""),"BRIDGETT")</f>
        <v>BRIDGETT</v>
      </c>
      <c r="C44" s="12" t="str">
        <f>IFERROR(__xludf.DUMMYFUNCTION("""COMPUTED_VALUE"""),"ZEPHYR HILLS")</f>
        <v>ZEPHYR HILLS</v>
      </c>
      <c r="D44" s="12" t="str">
        <f>IFERROR(__xludf.DUMMYFUNCTION("""COMPUTED_VALUE"""),"FL")</f>
        <v>FL</v>
      </c>
      <c r="E44" s="12" t="str">
        <f>IFERROR(__xludf.DUMMYFUNCTION("""COMPUTED_VALUE"""),"USA")</f>
        <v>USA</v>
      </c>
      <c r="F44" s="12" t="str">
        <f>IFERROR(__xludf.DUMMYFUNCTION("""COMPUTED_VALUE"""),"WOMEN DBLS COMBO")</f>
        <v>WOMEN DBLS COMBO</v>
      </c>
      <c r="G44" s="12" t="str">
        <f>IFERROR(__xludf.DUMMYFUNCTION("""COMPUTED_VALUE"""),"3RD")</f>
        <v>3RD</v>
      </c>
      <c r="H44" s="12" t="str">
        <f>IFERROR(__xludf.DUMMYFUNCTION("""COMPUTED_VALUE"""),"FL REGIONAL BS 38")</f>
        <v>FL REGIONAL BS 38</v>
      </c>
      <c r="I44" s="14">
        <f>IFERROR(__xludf.DUMMYFUNCTION("""COMPUTED_VALUE"""),45444.0)</f>
        <v>45444</v>
      </c>
      <c r="J44" s="14">
        <f>IFERROR(__xludf.DUMMYFUNCTION("""COMPUTED_VALUE"""),46539.0)</f>
        <v>46539</v>
      </c>
      <c r="K44" s="10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7" t="str">
        <f>IFERROR(__xludf.DUMMYFUNCTION("""COMPUTED_VALUE"""),"CRAIG")</f>
        <v>CRAIG</v>
      </c>
      <c r="B45" s="8" t="str">
        <f>IFERROR(__xludf.DUMMYFUNCTION("""COMPUTED_VALUE"""),"MORGAN")</f>
        <v>MORGAN</v>
      </c>
      <c r="C45" s="8" t="str">
        <f>IFERROR(__xludf.DUMMYFUNCTION("""COMPUTED_VALUE"""),"WATERLOO")</f>
        <v>WATERLOO</v>
      </c>
      <c r="D45" s="8" t="str">
        <f>IFERROR(__xludf.DUMMYFUNCTION("""COMPUTED_VALUE"""),"NY")</f>
        <v>NY</v>
      </c>
      <c r="E45" s="8" t="str">
        <f>IFERROR(__xludf.DUMMYFUNCTION("""COMPUTED_VALUE"""),"USA")</f>
        <v>USA</v>
      </c>
      <c r="F45" s="8" t="str">
        <f>IFERROR(__xludf.DUMMYFUNCTION("""COMPUTED_VALUE"""),"WOMEN DBLS 301")</f>
        <v>WOMEN DBLS 301</v>
      </c>
      <c r="G45" s="8" t="str">
        <f>IFERROR(__xludf.DUMMYFUNCTION("""COMPUTED_VALUE"""),"1ST")</f>
        <v>1ST</v>
      </c>
      <c r="H45" s="8" t="str">
        <f>IFERROR(__xludf.DUMMYFUNCTION("""COMPUTED_VALUE"""),"NY REGIONAL BS 38")</f>
        <v>NY REGIONAL BS 38</v>
      </c>
      <c r="I45" s="9">
        <f>IFERROR(__xludf.DUMMYFUNCTION("""COMPUTED_VALUE"""),45444.0)</f>
        <v>45444</v>
      </c>
      <c r="J45" s="9">
        <f>IFERROR(__xludf.DUMMYFUNCTION("""COMPUTED_VALUE"""),46539.0)</f>
        <v>46539</v>
      </c>
      <c r="K45" s="10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7" t="str">
        <f>IFERROR(__xludf.DUMMYFUNCTION("""COMPUTED_VALUE"""),"CRISS")</f>
        <v>CRISS</v>
      </c>
      <c r="B46" s="8" t="str">
        <f>IFERROR(__xludf.DUMMYFUNCTION("""COMPUTED_VALUE"""),"KALIKA")</f>
        <v>KALIKA</v>
      </c>
      <c r="C46" s="8" t="str">
        <f>IFERROR(__xludf.DUMMYFUNCTION("""COMPUTED_VALUE"""),"PLATTSBURGH")</f>
        <v>PLATTSBURGH</v>
      </c>
      <c r="D46" s="8" t="str">
        <f>IFERROR(__xludf.DUMMYFUNCTION("""COMPUTED_VALUE"""),"NY")</f>
        <v>NY</v>
      </c>
      <c r="E46" s="8" t="str">
        <f>IFERROR(__xludf.DUMMYFUNCTION("""COMPUTED_VALUE"""),"USA")</f>
        <v>USA</v>
      </c>
      <c r="F46" s="8" t="str">
        <f>IFERROR(__xludf.DUMMYFUNCTION("""COMPUTED_VALUE"""),"WOMENS DBLS COMBO")</f>
        <v>WOMENS DBLS COMBO</v>
      </c>
      <c r="G46" s="8" t="str">
        <f>IFERROR(__xludf.DUMMYFUNCTION("""COMPUTED_VALUE"""),"1ST")</f>
        <v>1ST</v>
      </c>
      <c r="H46" s="8" t="str">
        <f>IFERROR(__xludf.DUMMYFUNCTION("""COMPUTED_VALUE"""),"PA REGIONAL BS 38")</f>
        <v>PA REGIONAL BS 38</v>
      </c>
      <c r="I46" s="9">
        <f>IFERROR(__xludf.DUMMYFUNCTION("""COMPUTED_VALUE"""),45444.0)</f>
        <v>45444</v>
      </c>
      <c r="J46" s="9">
        <f>IFERROR(__xludf.DUMMYFUNCTION("""COMPUTED_VALUE"""),46539.0)</f>
        <v>46539</v>
      </c>
      <c r="K46" s="1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7" t="str">
        <f>IFERROR(__xludf.DUMMYFUNCTION("""COMPUTED_VALUE"""),"CROUGH")</f>
        <v>CROUGH</v>
      </c>
      <c r="B47" s="8" t="str">
        <f>IFERROR(__xludf.DUMMYFUNCTION("""COMPUTED_VALUE"""),"DEVYN")</f>
        <v>DEVYN</v>
      </c>
      <c r="C47" s="8" t="str">
        <f>IFERROR(__xludf.DUMMYFUNCTION("""COMPUTED_VALUE"""),"PITTSBURGH")</f>
        <v>PITTSBURGH</v>
      </c>
      <c r="D47" s="8" t="str">
        <f>IFERROR(__xludf.DUMMYFUNCTION("""COMPUTED_VALUE"""),"PA")</f>
        <v>PA</v>
      </c>
      <c r="E47" s="8" t="str">
        <f>IFERROR(__xludf.DUMMYFUNCTION("""COMPUTED_VALUE"""),"USA")</f>
        <v>USA</v>
      </c>
      <c r="F47" s="8" t="str">
        <f>IFERROR(__xludf.DUMMYFUNCTION("""COMPUTED_VALUE"""),"WOMEN DBLS COMBO")</f>
        <v>WOMEN DBLS COMBO</v>
      </c>
      <c r="G47" s="8" t="str">
        <f>IFERROR(__xludf.DUMMYFUNCTION("""COMPUTED_VALUE"""),"3RD")</f>
        <v>3RD</v>
      </c>
      <c r="H47" s="8" t="str">
        <f>IFERROR(__xludf.DUMMYFUNCTION("""COMPUTED_VALUE"""),"OH REGIONAL BS 38")</f>
        <v>OH REGIONAL BS 38</v>
      </c>
      <c r="I47" s="9">
        <f>IFERROR(__xludf.DUMMYFUNCTION("""COMPUTED_VALUE"""),45444.0)</f>
        <v>45444</v>
      </c>
      <c r="J47" s="9">
        <f>IFERROR(__xludf.DUMMYFUNCTION("""COMPUTED_VALUE"""),46539.0)</f>
        <v>46539</v>
      </c>
      <c r="K47" s="10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7" t="str">
        <f>IFERROR(__xludf.DUMMYFUNCTION("""COMPUTED_VALUE"""),"DAVIS")</f>
        <v>DAVIS</v>
      </c>
      <c r="B48" s="8" t="str">
        <f>IFERROR(__xludf.DUMMYFUNCTION("""COMPUTED_VALUE"""),"KRISTY")</f>
        <v>KRISTY</v>
      </c>
      <c r="C48" s="8" t="str">
        <f>IFERROR(__xludf.DUMMYFUNCTION("""COMPUTED_VALUE"""),"DEER PARK")</f>
        <v>DEER PARK</v>
      </c>
      <c r="D48" s="8" t="str">
        <f>IFERROR(__xludf.DUMMYFUNCTION("""COMPUTED_VALUE"""),"TX")</f>
        <v>TX</v>
      </c>
      <c r="E48" s="8" t="str">
        <f>IFERROR(__xludf.DUMMYFUNCTION("""COMPUTED_VALUE"""),"USA")</f>
        <v>USA</v>
      </c>
      <c r="F48" s="8" t="str">
        <f>IFERROR(__xludf.DUMMYFUNCTION("""COMPUTED_VALUE"""),"WOMEN SINGLES")</f>
        <v>WOMEN SINGLES</v>
      </c>
      <c r="G48" s="8" t="str">
        <f>IFERROR(__xludf.DUMMYFUNCTION("""COMPUTED_VALUE"""),"2")</f>
        <v>2</v>
      </c>
      <c r="H48" s="8" t="str">
        <f>IFERROR(__xludf.DUMMYFUNCTION("""COMPUTED_VALUE"""),"TX REGIONAL BS 38")</f>
        <v>TX REGIONAL BS 38</v>
      </c>
      <c r="I48" s="9">
        <f>IFERROR(__xludf.DUMMYFUNCTION("""COMPUTED_VALUE"""),45444.0)</f>
        <v>45444</v>
      </c>
      <c r="J48" s="9">
        <f>IFERROR(__xludf.DUMMYFUNCTION("""COMPUTED_VALUE"""),46539.0)</f>
        <v>46539</v>
      </c>
      <c r="K48" s="10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7" t="str">
        <f>IFERROR(__xludf.DUMMYFUNCTION("""COMPUTED_VALUE"""),"DEFISHER")</f>
        <v>DEFISHER</v>
      </c>
      <c r="B49" s="8" t="str">
        <f>IFERROR(__xludf.DUMMYFUNCTION("""COMPUTED_VALUE"""),"NICOLE")</f>
        <v>NICOLE</v>
      </c>
      <c r="C49" s="8" t="str">
        <f>IFERROR(__xludf.DUMMYFUNCTION("""COMPUTED_VALUE"""),"MARION")</f>
        <v>MARION</v>
      </c>
      <c r="D49" s="8" t="str">
        <f>IFERROR(__xludf.DUMMYFUNCTION("""COMPUTED_VALUE"""),"NY")</f>
        <v>NY</v>
      </c>
      <c r="E49" s="8" t="str">
        <f>IFERROR(__xludf.DUMMYFUNCTION("""COMPUTED_VALUE"""),"USA")</f>
        <v>USA</v>
      </c>
      <c r="F49" s="8" t="str">
        <f>IFERROR(__xludf.DUMMYFUNCTION("""COMPUTED_VALUE"""),"WOMENS DBLS 301")</f>
        <v>WOMENS DBLS 301</v>
      </c>
      <c r="G49" s="8" t="str">
        <f>IFERROR(__xludf.DUMMYFUNCTION("""COMPUTED_VALUE"""),"3RD")</f>
        <v>3RD</v>
      </c>
      <c r="H49" s="8" t="str">
        <f>IFERROR(__xludf.DUMMYFUNCTION("""COMPUTED_VALUE"""),"NY REGIONAL BS 36")</f>
        <v>NY REGIONAL BS 36</v>
      </c>
      <c r="I49" s="9">
        <f>IFERROR(__xludf.DUMMYFUNCTION("""COMPUTED_VALUE"""),44713.0)</f>
        <v>44713</v>
      </c>
      <c r="J49" s="9">
        <f>IFERROR(__xludf.DUMMYFUNCTION("""COMPUTED_VALUE"""),45809.0)</f>
        <v>45809</v>
      </c>
      <c r="K49" s="10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7" t="str">
        <f>IFERROR(__xludf.DUMMYFUNCTION("""COMPUTED_VALUE"""),"DEMPSEY")</f>
        <v>DEMPSEY</v>
      </c>
      <c r="B50" s="8" t="str">
        <f>IFERROR(__xludf.DUMMYFUNCTION("""COMPUTED_VALUE"""),"ANNETTE")</f>
        <v>ANNETTE</v>
      </c>
      <c r="C50" s="8" t="str">
        <f>IFERROR(__xludf.DUMMYFUNCTION("""COMPUTED_VALUE"""),"ALLEGANY")</f>
        <v>ALLEGANY</v>
      </c>
      <c r="D50" s="8" t="str">
        <f>IFERROR(__xludf.DUMMYFUNCTION("""COMPUTED_VALUE"""),"NY")</f>
        <v>NY</v>
      </c>
      <c r="E50" s="8" t="str">
        <f>IFERROR(__xludf.DUMMYFUNCTION("""COMPUTED_VALUE"""),"USA")</f>
        <v>USA</v>
      </c>
      <c r="F50" s="8" t="str">
        <f>IFERROR(__xludf.DUMMYFUNCTION("""COMPUTED_VALUE"""),"WOMENS 301 DBLS")</f>
        <v>WOMENS 301 DBLS</v>
      </c>
      <c r="G50" s="8" t="str">
        <f>IFERROR(__xludf.DUMMYFUNCTION("""COMPUTED_VALUE"""),"3")</f>
        <v>3</v>
      </c>
      <c r="H50" s="8" t="str">
        <f>IFERROR(__xludf.DUMMYFUNCTION("""COMPUTED_VALUE"""),"BS 37 NY")</f>
        <v>BS 37 NY</v>
      </c>
      <c r="I50" s="9">
        <f>IFERROR(__xludf.DUMMYFUNCTION("""COMPUTED_VALUE"""),45078.0)</f>
        <v>45078</v>
      </c>
      <c r="J50" s="9">
        <f>IFERROR(__xludf.DUMMYFUNCTION("""COMPUTED_VALUE"""),46174.0)</f>
        <v>46174</v>
      </c>
      <c r="K50" s="10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7" t="str">
        <f>IFERROR(__xludf.DUMMYFUNCTION("""COMPUTED_VALUE"""),"DEMPSEY")</f>
        <v>DEMPSEY</v>
      </c>
      <c r="B51" s="8" t="str">
        <f>IFERROR(__xludf.DUMMYFUNCTION("""COMPUTED_VALUE"""),"ANNETTE")</f>
        <v>ANNETTE</v>
      </c>
      <c r="C51" s="8" t="str">
        <f>IFERROR(__xludf.DUMMYFUNCTION("""COMPUTED_VALUE"""),"ALLEGANY")</f>
        <v>ALLEGANY</v>
      </c>
      <c r="D51" s="8" t="str">
        <f>IFERROR(__xludf.DUMMYFUNCTION("""COMPUTED_VALUE"""),"NY")</f>
        <v>NY</v>
      </c>
      <c r="E51" s="8" t="str">
        <f>IFERROR(__xludf.DUMMYFUNCTION("""COMPUTED_VALUE"""),"USA")</f>
        <v>USA</v>
      </c>
      <c r="F51" s="8" t="str">
        <f>IFERROR(__xludf.DUMMYFUNCTION("""COMPUTED_VALUE"""),"WOMEN DBLS COMBO")</f>
        <v>WOMEN DBLS COMBO</v>
      </c>
      <c r="G51" s="8" t="str">
        <f>IFERROR(__xludf.DUMMYFUNCTION("""COMPUTED_VALUE"""),"3RD")</f>
        <v>3RD</v>
      </c>
      <c r="H51" s="8" t="str">
        <f>IFERROR(__xludf.DUMMYFUNCTION("""COMPUTED_VALUE"""),"NY REGIONAL BS 38")</f>
        <v>NY REGIONAL BS 38</v>
      </c>
      <c r="I51" s="9">
        <f>IFERROR(__xludf.DUMMYFUNCTION("""COMPUTED_VALUE"""),45444.0)</f>
        <v>45444</v>
      </c>
      <c r="J51" s="9">
        <f>IFERROR(__xludf.DUMMYFUNCTION("""COMPUTED_VALUE"""),46539.0)</f>
        <v>46539</v>
      </c>
      <c r="K51" s="10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7" t="str">
        <f>IFERROR(__xludf.DUMMYFUNCTION("""COMPUTED_VALUE"""),"DEWITT")</f>
        <v>DEWITT</v>
      </c>
      <c r="B52" s="8" t="str">
        <f>IFERROR(__xludf.DUMMYFUNCTION("""COMPUTED_VALUE"""),"DARLENE")</f>
        <v>DARLENE</v>
      </c>
      <c r="C52" s="8" t="str">
        <f>IFERROR(__xludf.DUMMYFUNCTION("""COMPUTED_VALUE"""),"DUNDEE")</f>
        <v>DUNDEE</v>
      </c>
      <c r="D52" s="8" t="str">
        <f>IFERROR(__xludf.DUMMYFUNCTION("""COMPUTED_VALUE"""),"NY")</f>
        <v>NY</v>
      </c>
      <c r="E52" s="8" t="str">
        <f>IFERROR(__xludf.DUMMYFUNCTION("""COMPUTED_VALUE"""),"USA")</f>
        <v>USA</v>
      </c>
      <c r="F52" s="8" t="str">
        <f>IFERROR(__xludf.DUMMYFUNCTION("""COMPUTED_VALUE"""),"WOMEN DBLS COMBO")</f>
        <v>WOMEN DBLS COMBO</v>
      </c>
      <c r="G52" s="8" t="str">
        <f>IFERROR(__xludf.DUMMYFUNCTION("""COMPUTED_VALUE"""),"2ND")</f>
        <v>2ND</v>
      </c>
      <c r="H52" s="8" t="str">
        <f>IFERROR(__xludf.DUMMYFUNCTION("""COMPUTED_VALUE"""),"NY REGIONAL BS 38")</f>
        <v>NY REGIONAL BS 38</v>
      </c>
      <c r="I52" s="9">
        <f>IFERROR(__xludf.DUMMYFUNCTION("""COMPUTED_VALUE"""),45444.0)</f>
        <v>45444</v>
      </c>
      <c r="J52" s="9">
        <f>IFERROR(__xludf.DUMMYFUNCTION("""COMPUTED_VALUE"""),46539.0)</f>
        <v>46539</v>
      </c>
      <c r="K52" s="10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7" t="str">
        <f>IFERROR(__xludf.DUMMYFUNCTION("""COMPUTED_VALUE"""),"DIGENOVA")</f>
        <v>DIGENOVA</v>
      </c>
      <c r="B53" s="8" t="str">
        <f>IFERROR(__xludf.DUMMYFUNCTION("""COMPUTED_VALUE"""),"DANIELLE")</f>
        <v>DANIELLE</v>
      </c>
      <c r="C53" s="8" t="str">
        <f>IFERROR(__xludf.DUMMYFUNCTION("""COMPUTED_VALUE"""),"CHARLESTON")</f>
        <v>CHARLESTON</v>
      </c>
      <c r="D53" s="8" t="str">
        <f>IFERROR(__xludf.DUMMYFUNCTION("""COMPUTED_VALUE"""),"WV")</f>
        <v>WV</v>
      </c>
      <c r="E53" s="8" t="str">
        <f>IFERROR(__xludf.DUMMYFUNCTION("""COMPUTED_VALUE"""),"USA")</f>
        <v>USA</v>
      </c>
      <c r="F53" s="8" t="str">
        <f>IFERROR(__xludf.DUMMYFUNCTION("""COMPUTED_VALUE"""),"WOMEN SNG COMBO")</f>
        <v>WOMEN SNG COMBO</v>
      </c>
      <c r="G53" s="8" t="str">
        <f>IFERROR(__xludf.DUMMYFUNCTION("""COMPUTED_VALUE"""),"2ND")</f>
        <v>2ND</v>
      </c>
      <c r="H53" s="8" t="str">
        <f>IFERROR(__xludf.DUMMYFUNCTION("""COMPUTED_VALUE"""),"PA REGIONAL BS 38")</f>
        <v>PA REGIONAL BS 38</v>
      </c>
      <c r="I53" s="9">
        <f>IFERROR(__xludf.DUMMYFUNCTION("""COMPUTED_VALUE"""),45444.0)</f>
        <v>45444</v>
      </c>
      <c r="J53" s="9">
        <f>IFERROR(__xludf.DUMMYFUNCTION("""COMPUTED_VALUE"""),46539.0)</f>
        <v>46539</v>
      </c>
      <c r="K53" s="1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7" t="str">
        <f>IFERROR(__xludf.DUMMYFUNCTION("""COMPUTED_VALUE"""),"DODSON")</f>
        <v>DODSON</v>
      </c>
      <c r="B54" s="8" t="str">
        <f>IFERROR(__xludf.DUMMYFUNCTION("""COMPUTED_VALUE"""),"WENDI")</f>
        <v>WENDI</v>
      </c>
      <c r="C54" s="8" t="str">
        <f>IFERROR(__xludf.DUMMYFUNCTION("""COMPUTED_VALUE"""),"TEMPE")</f>
        <v>TEMPE</v>
      </c>
      <c r="D54" s="8" t="str">
        <f>IFERROR(__xludf.DUMMYFUNCTION("""COMPUTED_VALUE"""),"AZ")</f>
        <v>AZ</v>
      </c>
      <c r="E54" s="8" t="str">
        <f>IFERROR(__xludf.DUMMYFUNCTION("""COMPUTED_VALUE"""),"USA")</f>
        <v>USA</v>
      </c>
      <c r="F54" s="8" t="str">
        <f>IFERROR(__xludf.DUMMYFUNCTION("""COMPUTED_VALUE"""),"WOMENS DBLS 301")</f>
        <v>WOMENS DBLS 301</v>
      </c>
      <c r="G54" s="8" t="str">
        <f>IFERROR(__xludf.DUMMYFUNCTION("""COMPUTED_VALUE"""),"1ST")</f>
        <v>1ST</v>
      </c>
      <c r="H54" s="8" t="str">
        <f>IFERROR(__xludf.DUMMYFUNCTION("""COMPUTED_VALUE"""),"AZ REGIONAL BS 36")</f>
        <v>AZ REGIONAL BS 36</v>
      </c>
      <c r="I54" s="9">
        <f>IFERROR(__xludf.DUMMYFUNCTION("""COMPUTED_VALUE"""),44713.0)</f>
        <v>44713</v>
      </c>
      <c r="J54" s="9">
        <f>IFERROR(__xludf.DUMMYFUNCTION("""COMPUTED_VALUE"""),45809.0)</f>
        <v>45809</v>
      </c>
      <c r="K54" s="10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7" t="str">
        <f>IFERROR(__xludf.DUMMYFUNCTION("""COMPUTED_VALUE"""),"DONELSON")</f>
        <v>DONELSON</v>
      </c>
      <c r="B55" s="8" t="str">
        <f>IFERROR(__xludf.DUMMYFUNCTION("""COMPUTED_VALUE"""),"KRISTIN")</f>
        <v>KRISTIN</v>
      </c>
      <c r="C55" s="8" t="str">
        <f>IFERROR(__xludf.DUMMYFUNCTION("""COMPUTED_VALUE"""),"TUNICA")</f>
        <v>TUNICA</v>
      </c>
      <c r="D55" s="8" t="str">
        <f>IFERROR(__xludf.DUMMYFUNCTION("""COMPUTED_VALUE"""),"MS")</f>
        <v>MS</v>
      </c>
      <c r="E55" s="8" t="str">
        <f>IFERROR(__xludf.DUMMYFUNCTION("""COMPUTED_VALUE"""),"USA")</f>
        <v>USA</v>
      </c>
      <c r="F55" s="8" t="str">
        <f>IFERROR(__xludf.DUMMYFUNCTION("""COMPUTED_VALUE"""),"WOMEN SINGLES COMBO")</f>
        <v>WOMEN SINGLES COMBO</v>
      </c>
      <c r="G55" s="8" t="str">
        <f>IFERROR(__xludf.DUMMYFUNCTION("""COMPUTED_VALUE"""),"3RD")</f>
        <v>3RD</v>
      </c>
      <c r="H55" s="8" t="str">
        <f>IFERROR(__xludf.DUMMYFUNCTION("""COMPUTED_VALUE"""),"TN REGIONAL BS 38")</f>
        <v>TN REGIONAL BS 38</v>
      </c>
      <c r="I55" s="9">
        <f>IFERROR(__xludf.DUMMYFUNCTION("""COMPUTED_VALUE"""),45444.0)</f>
        <v>45444</v>
      </c>
      <c r="J55" s="9">
        <f>IFERROR(__xludf.DUMMYFUNCTION("""COMPUTED_VALUE"""),46539.0)</f>
        <v>46539</v>
      </c>
      <c r="K55" s="1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7" t="str">
        <f>IFERROR(__xludf.DUMMYFUNCTION("""COMPUTED_VALUE"""),"DUBOSE")</f>
        <v>DUBOSE</v>
      </c>
      <c r="B56" s="8" t="str">
        <f>IFERROR(__xludf.DUMMYFUNCTION("""COMPUTED_VALUE"""),"ALVANITA")</f>
        <v>ALVANITA</v>
      </c>
      <c r="C56" s="8" t="str">
        <f>IFERROR(__xludf.DUMMYFUNCTION("""COMPUTED_VALUE"""),"PEORIA")</f>
        <v>PEORIA</v>
      </c>
      <c r="D56" s="8" t="str">
        <f>IFERROR(__xludf.DUMMYFUNCTION("""COMPUTED_VALUE"""),"AZ")</f>
        <v>AZ</v>
      </c>
      <c r="E56" s="8" t="str">
        <f>IFERROR(__xludf.DUMMYFUNCTION("""COMPUTED_VALUE"""),"USA")</f>
        <v>USA</v>
      </c>
      <c r="F56" s="8" t="str">
        <f>IFERROR(__xludf.DUMMYFUNCTION("""COMPUTED_VALUE"""),"WOMENS DBLS 301")</f>
        <v>WOMENS DBLS 301</v>
      </c>
      <c r="G56" s="8" t="str">
        <f>IFERROR(__xludf.DUMMYFUNCTION("""COMPUTED_VALUE"""),"3RD")</f>
        <v>3RD</v>
      </c>
      <c r="H56" s="8" t="str">
        <f>IFERROR(__xludf.DUMMYFUNCTION("""COMPUTED_VALUE"""),"AZ REGIONAL BS 36")</f>
        <v>AZ REGIONAL BS 36</v>
      </c>
      <c r="I56" s="9">
        <f>IFERROR(__xludf.DUMMYFUNCTION("""COMPUTED_VALUE"""),44713.0)</f>
        <v>44713</v>
      </c>
      <c r="J56" s="9">
        <f>IFERROR(__xludf.DUMMYFUNCTION("""COMPUTED_VALUE"""),45809.0)</f>
        <v>45809</v>
      </c>
      <c r="K56" s="1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7" t="str">
        <f>IFERROR(__xludf.DUMMYFUNCTION("""COMPUTED_VALUE"""),"DULAK")</f>
        <v>DULAK</v>
      </c>
      <c r="B57" s="8" t="str">
        <f>IFERROR(__xludf.DUMMYFUNCTION("""COMPUTED_VALUE"""),"HOLLY")</f>
        <v>HOLLY</v>
      </c>
      <c r="C57" s="8" t="str">
        <f>IFERROR(__xludf.DUMMYFUNCTION("""COMPUTED_VALUE"""),"CLAIRTON")</f>
        <v>CLAIRTON</v>
      </c>
      <c r="D57" s="8" t="str">
        <f>IFERROR(__xludf.DUMMYFUNCTION("""COMPUTED_VALUE"""),"PA")</f>
        <v>PA</v>
      </c>
      <c r="E57" s="8" t="str">
        <f>IFERROR(__xludf.DUMMYFUNCTION("""COMPUTED_VALUE"""),"USA")</f>
        <v>USA</v>
      </c>
      <c r="F57" s="8" t="str">
        <f>IFERROR(__xludf.DUMMYFUNCTION("""COMPUTED_VALUE"""),"WOMEN DBLS COMBO")</f>
        <v>WOMEN DBLS COMBO</v>
      </c>
      <c r="G57" s="8" t="str">
        <f>IFERROR(__xludf.DUMMYFUNCTION("""COMPUTED_VALUE"""),"2ND")</f>
        <v>2ND</v>
      </c>
      <c r="H57" s="8" t="str">
        <f>IFERROR(__xludf.DUMMYFUNCTION("""COMPUTED_VALUE"""),"PA REGIONAL BS 38")</f>
        <v>PA REGIONAL BS 38</v>
      </c>
      <c r="I57" s="9">
        <f>IFERROR(__xludf.DUMMYFUNCTION("""COMPUTED_VALUE"""),45444.0)</f>
        <v>45444</v>
      </c>
      <c r="J57" s="9">
        <f>IFERROR(__xludf.DUMMYFUNCTION("""COMPUTED_VALUE"""),46539.0)</f>
        <v>46539</v>
      </c>
      <c r="K57" s="1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7" t="str">
        <f>IFERROR(__xludf.DUMMYFUNCTION("""COMPUTED_VALUE"""),"DURKEE")</f>
        <v>DURKEE</v>
      </c>
      <c r="B58" s="8" t="str">
        <f>IFERROR(__xludf.DUMMYFUNCTION("""COMPUTED_VALUE"""),"LUKISHA")</f>
        <v>LUKISHA</v>
      </c>
      <c r="C58" s="8" t="str">
        <f>IFERROR(__xludf.DUMMYFUNCTION("""COMPUTED_VALUE"""),"YUKON")</f>
        <v>YUKON</v>
      </c>
      <c r="D58" s="8" t="str">
        <f>IFERROR(__xludf.DUMMYFUNCTION("""COMPUTED_VALUE"""),"OK")</f>
        <v>OK</v>
      </c>
      <c r="E58" s="8" t="str">
        <f>IFERROR(__xludf.DUMMYFUNCTION("""COMPUTED_VALUE"""),"USA")</f>
        <v>USA</v>
      </c>
      <c r="F58" s="8" t="str">
        <f>IFERROR(__xludf.DUMMYFUNCTION("""COMPUTED_VALUE"""),"TOPGUN WOMEN B SINGLES")</f>
        <v>TOPGUN WOMEN B SINGLES</v>
      </c>
      <c r="G58" s="8" t="str">
        <f>IFERROR(__xludf.DUMMYFUNCTION("""COMPUTED_VALUE"""),"3 4")</f>
        <v>3 4</v>
      </c>
      <c r="H58" s="8" t="str">
        <f>IFERROR(__xludf.DUMMYFUNCTION("""COMPUTED_VALUE"""),"BS 37 FINALS")</f>
        <v>BS 37 FINALS</v>
      </c>
      <c r="I58" s="9">
        <f>IFERROR(__xludf.DUMMYFUNCTION("""COMPUTED_VALUE"""),45078.0)</f>
        <v>45078</v>
      </c>
      <c r="J58" s="9">
        <f>IFERROR(__xludf.DUMMYFUNCTION("""COMPUTED_VALUE"""),46174.0)</f>
        <v>46174</v>
      </c>
      <c r="K58" s="1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7" t="str">
        <f>IFERROR(__xludf.DUMMYFUNCTION("""COMPUTED_VALUE"""),"EDWARDS")</f>
        <v>EDWARDS</v>
      </c>
      <c r="B59" s="8" t="str">
        <f>IFERROR(__xludf.DUMMYFUNCTION("""COMPUTED_VALUE"""),"SHELLY")</f>
        <v>SHELLY</v>
      </c>
      <c r="C59" s="8" t="str">
        <f>IFERROR(__xludf.DUMMYFUNCTION("""COMPUTED_VALUE"""),"CHEYENNE")</f>
        <v>CHEYENNE</v>
      </c>
      <c r="D59" s="8" t="str">
        <f>IFERROR(__xludf.DUMMYFUNCTION("""COMPUTED_VALUE"""),"WY")</f>
        <v>WY</v>
      </c>
      <c r="E59" s="8" t="str">
        <f>IFERROR(__xludf.DUMMYFUNCTION("""COMPUTED_VALUE"""),"USA")</f>
        <v>USA</v>
      </c>
      <c r="F59" s="8" t="str">
        <f>IFERROR(__xludf.DUMMYFUNCTION("""COMPUTED_VALUE"""),"WOMEN B DBLS CRICKET")</f>
        <v>WOMEN B DBLS CRICKET</v>
      </c>
      <c r="G59" s="8" t="str">
        <f>IFERROR(__xludf.DUMMYFUNCTION("""COMPUTED_VALUE"""),"2ND")</f>
        <v>2ND</v>
      </c>
      <c r="H59" s="8" t="str">
        <f>IFERROR(__xludf.DUMMYFUNCTION("""COMPUTED_VALUE"""),"BS 38 FINALS")</f>
        <v>BS 38 FINALS</v>
      </c>
      <c r="I59" s="9">
        <f>IFERROR(__xludf.DUMMYFUNCTION("""COMPUTED_VALUE"""),45444.0)</f>
        <v>45444</v>
      </c>
      <c r="J59" s="9">
        <f>IFERROR(__xludf.DUMMYFUNCTION("""COMPUTED_VALUE"""),46539.0)</f>
        <v>46539</v>
      </c>
      <c r="K59" s="1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7" t="str">
        <f>IFERROR(__xludf.DUMMYFUNCTION("""COMPUTED_VALUE"""),"EGLY")</f>
        <v>EGLY</v>
      </c>
      <c r="B60" s="8" t="str">
        <f>IFERROR(__xludf.DUMMYFUNCTION("""COMPUTED_VALUE"""),"MICHELLE")</f>
        <v>MICHELLE</v>
      </c>
      <c r="C60" s="8" t="str">
        <f>IFERROR(__xludf.DUMMYFUNCTION("""COMPUTED_VALUE"""),"CRESTVIEW")</f>
        <v>CRESTVIEW</v>
      </c>
      <c r="D60" s="8" t="str">
        <f>IFERROR(__xludf.DUMMYFUNCTION("""COMPUTED_VALUE"""),"FL")</f>
        <v>FL</v>
      </c>
      <c r="E60" s="8" t="str">
        <f>IFERROR(__xludf.DUMMYFUNCTION("""COMPUTED_VALUE"""),"USA")</f>
        <v>USA</v>
      </c>
      <c r="F60" s="8" t="str">
        <f>IFERROR(__xludf.DUMMYFUNCTION("""COMPUTED_VALUE"""),"TOP GUN WOMEN SINGLES")</f>
        <v>TOP GUN WOMEN SINGLES</v>
      </c>
      <c r="G60" s="8" t="str">
        <f>IFERROR(__xludf.DUMMYFUNCTION("""COMPUTED_VALUE"""),"3RD")</f>
        <v>3RD</v>
      </c>
      <c r="H60" s="8" t="str">
        <f>IFERROR(__xludf.DUMMYFUNCTION("""COMPUTED_VALUE"""),"BULLSHOOTER 36 FINALS")</f>
        <v>BULLSHOOTER 36 FINALS</v>
      </c>
      <c r="I60" s="9">
        <f>IFERROR(__xludf.DUMMYFUNCTION("""COMPUTED_VALUE"""),44713.0)</f>
        <v>44713</v>
      </c>
      <c r="J60" s="9">
        <f>IFERROR(__xludf.DUMMYFUNCTION("""COMPUTED_VALUE"""),45809.0)</f>
        <v>45809</v>
      </c>
      <c r="K60" s="1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7" t="str">
        <f>IFERROR(__xludf.DUMMYFUNCTION("""COMPUTED_VALUE"""),"Espinoza")</f>
        <v>Espinoza</v>
      </c>
      <c r="B61" s="8" t="str">
        <f>IFERROR(__xludf.DUMMYFUNCTION("""COMPUTED_VALUE"""),"Wendy")</f>
        <v>Wendy</v>
      </c>
      <c r="C61" s="8" t="str">
        <f>IFERROR(__xludf.DUMMYFUNCTION("""COMPUTED_VALUE"""),"Owatonna")</f>
        <v>Owatonna</v>
      </c>
      <c r="D61" s="8" t="str">
        <f>IFERROR(__xludf.DUMMYFUNCTION("""COMPUTED_VALUE"""),"MN")</f>
        <v>MN</v>
      </c>
      <c r="E61" s="8" t="str">
        <f>IFERROR(__xludf.DUMMYFUNCTION("""COMPUTED_VALUE"""),"USA")</f>
        <v>USA</v>
      </c>
      <c r="F61" s="8" t="str">
        <f>IFERROR(__xludf.DUMMYFUNCTION("""COMPUTED_VALUE"""),"Women AA 501 Doubles")</f>
        <v>Women AA 501 Doubles</v>
      </c>
      <c r="G61" s="8" t="str">
        <f>IFERROR(__xludf.DUMMYFUNCTION("""COMPUTED_VALUE"""),"4th")</f>
        <v>4th</v>
      </c>
      <c r="H61" s="8" t="str">
        <f>IFERROR(__xludf.DUMMYFUNCTION("""COMPUTED_VALUE"""),"BullShooter 34 Finals")</f>
        <v>BullShooter 34 Finals</v>
      </c>
      <c r="I61" s="9">
        <f>IFERROR(__xludf.DUMMYFUNCTION("""COMPUTED_VALUE"""),43617.0)</f>
        <v>43617</v>
      </c>
      <c r="J61" s="9">
        <f>IFERROR(__xludf.DUMMYFUNCTION("""COMPUTED_VALUE"""),45809.0)</f>
        <v>45809</v>
      </c>
      <c r="K61" s="1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7" t="str">
        <f>IFERROR(__xludf.DUMMYFUNCTION("""COMPUTED_VALUE"""),"EVANS")</f>
        <v>EVANS</v>
      </c>
      <c r="B62" s="8" t="str">
        <f>IFERROR(__xludf.DUMMYFUNCTION("""COMPUTED_VALUE"""),"BROOKE")</f>
        <v>BROOKE</v>
      </c>
      <c r="C62" s="8" t="str">
        <f>IFERROR(__xludf.DUMMYFUNCTION("""COMPUTED_VALUE"""),"CHANDLER")</f>
        <v>CHANDLER</v>
      </c>
      <c r="D62" s="8" t="str">
        <f>IFERROR(__xludf.DUMMYFUNCTION("""COMPUTED_VALUE"""),"AZ")</f>
        <v>AZ</v>
      </c>
      <c r="E62" s="8" t="str">
        <f>IFERROR(__xludf.DUMMYFUNCTION("""COMPUTED_VALUE"""),"USA")</f>
        <v>USA</v>
      </c>
      <c r="F62" s="8" t="str">
        <f>IFERROR(__xludf.DUMMYFUNCTION("""COMPUTED_VALUE"""),"WOMENS DBLS 301")</f>
        <v>WOMENS DBLS 301</v>
      </c>
      <c r="G62" s="8" t="str">
        <f>IFERROR(__xludf.DUMMYFUNCTION("""COMPUTED_VALUE"""),"1ST")</f>
        <v>1ST</v>
      </c>
      <c r="H62" s="8" t="str">
        <f>IFERROR(__xludf.DUMMYFUNCTION("""COMPUTED_VALUE"""),"AZ REGIONAL BS 36")</f>
        <v>AZ REGIONAL BS 36</v>
      </c>
      <c r="I62" s="9">
        <f>IFERROR(__xludf.DUMMYFUNCTION("""COMPUTED_VALUE"""),44713.0)</f>
        <v>44713</v>
      </c>
      <c r="J62" s="9">
        <f>IFERROR(__xludf.DUMMYFUNCTION("""COMPUTED_VALUE"""),45809.0)</f>
        <v>45809</v>
      </c>
      <c r="K62" s="1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7" t="str">
        <f>IFERROR(__xludf.DUMMYFUNCTION("""COMPUTED_VALUE"""),"FASICK")</f>
        <v>FASICK</v>
      </c>
      <c r="B63" s="8" t="str">
        <f>IFERROR(__xludf.DUMMYFUNCTION("""COMPUTED_VALUE"""),"HOPE")</f>
        <v>HOPE</v>
      </c>
      <c r="C63" s="8" t="str">
        <f>IFERROR(__xludf.DUMMYFUNCTION("""COMPUTED_VALUE"""),"RACINE")</f>
        <v>RACINE</v>
      </c>
      <c r="D63" s="8" t="str">
        <f>IFERROR(__xludf.DUMMYFUNCTION("""COMPUTED_VALUE"""),"WI")</f>
        <v>WI</v>
      </c>
      <c r="E63" s="8" t="str">
        <f>IFERROR(__xludf.DUMMYFUNCTION("""COMPUTED_VALUE"""),"USA")</f>
        <v>USA</v>
      </c>
      <c r="F63" s="8" t="str">
        <f>IFERROR(__xludf.DUMMYFUNCTION("""COMPUTED_VALUE"""),"WOMEN B 301 DBLS")</f>
        <v>WOMEN B 301 DBLS</v>
      </c>
      <c r="G63" s="8" t="str">
        <f>IFERROR(__xludf.DUMMYFUNCTION("""COMPUTED_VALUE"""),"4")</f>
        <v>4</v>
      </c>
      <c r="H63" s="8" t="str">
        <f>IFERROR(__xludf.DUMMYFUNCTION("""COMPUTED_VALUE"""),"BS 37 FINALS")</f>
        <v>BS 37 FINALS</v>
      </c>
      <c r="I63" s="9">
        <f>IFERROR(__xludf.DUMMYFUNCTION("""COMPUTED_VALUE"""),45078.0)</f>
        <v>45078</v>
      </c>
      <c r="J63" s="9">
        <f>IFERROR(__xludf.DUMMYFUNCTION("""COMPUTED_VALUE"""),46174.0)</f>
        <v>46174</v>
      </c>
      <c r="K63" s="1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7" t="str">
        <f>IFERROR(__xludf.DUMMYFUNCTION("""COMPUTED_VALUE"""),"FERGUSON")</f>
        <v>FERGUSON</v>
      </c>
      <c r="B64" s="8" t="str">
        <f>IFERROR(__xludf.DUMMYFUNCTION("""COMPUTED_VALUE"""),"MARY")</f>
        <v>MARY</v>
      </c>
      <c r="C64" s="8" t="str">
        <f>IFERROR(__xludf.DUMMYFUNCTION("""COMPUTED_VALUE"""),"PORTAGE")</f>
        <v>PORTAGE</v>
      </c>
      <c r="D64" s="8" t="str">
        <f>IFERROR(__xludf.DUMMYFUNCTION("""COMPUTED_VALUE"""),"IN")</f>
        <v>IN</v>
      </c>
      <c r="E64" s="8" t="str">
        <f>IFERROR(__xludf.DUMMYFUNCTION("""COMPUTED_VALUE"""),"USA")</f>
        <v>USA</v>
      </c>
      <c r="F64" s="8" t="str">
        <f>IFERROR(__xludf.DUMMYFUNCTION("""COMPUTED_VALUE"""),"TOP GUN WOMEN B SNG CRICKET")</f>
        <v>TOP GUN WOMEN B SNG CRICKET</v>
      </c>
      <c r="G64" s="8" t="str">
        <f>IFERROR(__xludf.DUMMYFUNCTION("""COMPUTED_VALUE"""),"4TH")</f>
        <v>4TH</v>
      </c>
      <c r="H64" s="8" t="str">
        <f>IFERROR(__xludf.DUMMYFUNCTION("""COMPUTED_VALUE"""),"BS 38 FINALS")</f>
        <v>BS 38 FINALS</v>
      </c>
      <c r="I64" s="9">
        <f>IFERROR(__xludf.DUMMYFUNCTION("""COMPUTED_VALUE"""),45444.0)</f>
        <v>45444</v>
      </c>
      <c r="J64" s="9">
        <f>IFERROR(__xludf.DUMMYFUNCTION("""COMPUTED_VALUE"""),46539.0)</f>
        <v>46539</v>
      </c>
      <c r="K64" s="1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7" t="str">
        <f>IFERROR(__xludf.DUMMYFUNCTION("""COMPUTED_VALUE"""),"FORSMAN")</f>
        <v>FORSMAN</v>
      </c>
      <c r="B65" s="8" t="str">
        <f>IFERROR(__xludf.DUMMYFUNCTION("""COMPUTED_VALUE"""),"KORINA")</f>
        <v>KORINA</v>
      </c>
      <c r="C65" s="8" t="str">
        <f>IFERROR(__xludf.DUMMYFUNCTION("""COMPUTED_VALUE"""),"OMAHA")</f>
        <v>OMAHA</v>
      </c>
      <c r="D65" s="8" t="str">
        <f>IFERROR(__xludf.DUMMYFUNCTION("""COMPUTED_VALUE"""),"NE")</f>
        <v>NE</v>
      </c>
      <c r="E65" s="8" t="str">
        <f>IFERROR(__xludf.DUMMYFUNCTION("""COMPUTED_VALUE"""),"USA")</f>
        <v>USA</v>
      </c>
      <c r="F65" s="8" t="str">
        <f>IFERROR(__xludf.DUMMYFUNCTION("""COMPUTED_VALUE"""),"WOMEN DBLS 301")</f>
        <v>WOMEN DBLS 301</v>
      </c>
      <c r="G65" s="8" t="str">
        <f>IFERROR(__xludf.DUMMYFUNCTION("""COMPUTED_VALUE"""),"2ND")</f>
        <v>2ND</v>
      </c>
      <c r="H65" s="8" t="str">
        <f>IFERROR(__xludf.DUMMYFUNCTION("""COMPUTED_VALUE"""),"NE REGIONAL BS 38")</f>
        <v>NE REGIONAL BS 38</v>
      </c>
      <c r="I65" s="9">
        <f>IFERROR(__xludf.DUMMYFUNCTION("""COMPUTED_VALUE"""),45444.0)</f>
        <v>45444</v>
      </c>
      <c r="J65" s="9">
        <f>IFERROR(__xludf.DUMMYFUNCTION("""COMPUTED_VALUE"""),46539.0)</f>
        <v>46539</v>
      </c>
      <c r="K65" s="1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7" t="str">
        <f>IFERROR(__xludf.DUMMYFUNCTION("""COMPUTED_VALUE"""),"FRALEY")</f>
        <v>FRALEY</v>
      </c>
      <c r="B66" s="8" t="str">
        <f>IFERROR(__xludf.DUMMYFUNCTION("""COMPUTED_VALUE"""),"SANGRIA")</f>
        <v>SANGRIA</v>
      </c>
      <c r="C66" s="8" t="str">
        <f>IFERROR(__xludf.DUMMYFUNCTION("""COMPUTED_VALUE"""),"COLORADO SPRINGS")</f>
        <v>COLORADO SPRINGS</v>
      </c>
      <c r="D66" s="8" t="str">
        <f>IFERROR(__xludf.DUMMYFUNCTION("""COMPUTED_VALUE"""),"CO")</f>
        <v>CO</v>
      </c>
      <c r="E66" s="8" t="str">
        <f>IFERROR(__xludf.DUMMYFUNCTION("""COMPUTED_VALUE"""),"USA")</f>
        <v>USA</v>
      </c>
      <c r="F66" s="8" t="str">
        <f>IFERROR(__xludf.DUMMYFUNCTION("""COMPUTED_VALUE"""),"WOMENS DBLS 301")</f>
        <v>WOMENS DBLS 301</v>
      </c>
      <c r="G66" s="8" t="str">
        <f>IFERROR(__xludf.DUMMYFUNCTION("""COMPUTED_VALUE"""),"3RD")</f>
        <v>3RD</v>
      </c>
      <c r="H66" s="8" t="str">
        <f>IFERROR(__xludf.DUMMYFUNCTION("""COMPUTED_VALUE"""),"WY REGIONAL BS 36")</f>
        <v>WY REGIONAL BS 36</v>
      </c>
      <c r="I66" s="9">
        <f>IFERROR(__xludf.DUMMYFUNCTION("""COMPUTED_VALUE"""),44713.0)</f>
        <v>44713</v>
      </c>
      <c r="J66" s="9">
        <f>IFERROR(__xludf.DUMMYFUNCTION("""COMPUTED_VALUE"""),45809.0)</f>
        <v>45809</v>
      </c>
      <c r="K66" s="1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7" t="str">
        <f>IFERROR(__xludf.DUMMYFUNCTION("""COMPUTED_VALUE"""),"FRAZIER")</f>
        <v>FRAZIER</v>
      </c>
      <c r="B67" s="8" t="str">
        <f>IFERROR(__xludf.DUMMYFUNCTION("""COMPUTED_VALUE"""),"AUBRY")</f>
        <v>AUBRY</v>
      </c>
      <c r="C67" s="8" t="str">
        <f>IFERROR(__xludf.DUMMYFUNCTION("""COMPUTED_VALUE"""),"SOUTHGATE")</f>
        <v>SOUTHGATE</v>
      </c>
      <c r="D67" s="8" t="str">
        <f>IFERROR(__xludf.DUMMYFUNCTION("""COMPUTED_VALUE"""),"MI")</f>
        <v>MI</v>
      </c>
      <c r="E67" s="8" t="str">
        <f>IFERROR(__xludf.DUMMYFUNCTION("""COMPUTED_VALUE"""),"USA")</f>
        <v>USA</v>
      </c>
      <c r="F67" s="8" t="str">
        <f>IFERROR(__xludf.DUMMYFUNCTION("""COMPUTED_VALUE"""),"WOMEN DBLS COMBO")</f>
        <v>WOMEN DBLS COMBO</v>
      </c>
      <c r="G67" s="8" t="str">
        <f>IFERROR(__xludf.DUMMYFUNCTION("""COMPUTED_VALUE"""),"1ST")</f>
        <v>1ST</v>
      </c>
      <c r="H67" s="8" t="str">
        <f>IFERROR(__xludf.DUMMYFUNCTION("""COMPUTED_VALUE"""),"MI REGIONAL BS 38")</f>
        <v>MI REGIONAL BS 38</v>
      </c>
      <c r="I67" s="9">
        <f>IFERROR(__xludf.DUMMYFUNCTION("""COMPUTED_VALUE"""),45444.0)</f>
        <v>45444</v>
      </c>
      <c r="J67" s="9">
        <f>IFERROR(__xludf.DUMMYFUNCTION("""COMPUTED_VALUE"""),46539.0)</f>
        <v>46539</v>
      </c>
      <c r="K67" s="1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7" t="str">
        <f>IFERROR(__xludf.DUMMYFUNCTION("""COMPUTED_VALUE"""),"GAGEN")</f>
        <v>GAGEN</v>
      </c>
      <c r="B68" s="8" t="str">
        <f>IFERROR(__xludf.DUMMYFUNCTION("""COMPUTED_VALUE"""),"DONNA")</f>
        <v>DONNA</v>
      </c>
      <c r="C68" s="8" t="str">
        <f>IFERROR(__xludf.DUMMYFUNCTION("""COMPUTED_VALUE"""),"ANKENY")</f>
        <v>ANKENY</v>
      </c>
      <c r="D68" s="8" t="str">
        <f>IFERROR(__xludf.DUMMYFUNCTION("""COMPUTED_VALUE"""),"IA")</f>
        <v>IA</v>
      </c>
      <c r="E68" s="8" t="str">
        <f>IFERROR(__xludf.DUMMYFUNCTION("""COMPUTED_VALUE"""),"USA")</f>
        <v>USA</v>
      </c>
      <c r="F68" s="8" t="str">
        <f>IFERROR(__xludf.DUMMYFUNCTION("""COMPUTED_VALUE"""),"WOMEN DBLS 301")</f>
        <v>WOMEN DBLS 301</v>
      </c>
      <c r="G68" s="8" t="str">
        <f>IFERROR(__xludf.DUMMYFUNCTION("""COMPUTED_VALUE"""),"1ST")</f>
        <v>1ST</v>
      </c>
      <c r="H68" s="8" t="str">
        <f>IFERROR(__xludf.DUMMYFUNCTION("""COMPUTED_VALUE"""),"NE REGIONAL BS 38")</f>
        <v>NE REGIONAL BS 38</v>
      </c>
      <c r="I68" s="9">
        <f>IFERROR(__xludf.DUMMYFUNCTION("""COMPUTED_VALUE"""),45444.0)</f>
        <v>45444</v>
      </c>
      <c r="J68" s="9">
        <f>IFERROR(__xludf.DUMMYFUNCTION("""COMPUTED_VALUE"""),46539.0)</f>
        <v>46539</v>
      </c>
      <c r="K68" s="10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7" t="str">
        <f>IFERROR(__xludf.DUMMYFUNCTION("""COMPUTED_VALUE"""),"GALFORD")</f>
        <v>GALFORD</v>
      </c>
      <c r="B69" s="8" t="str">
        <f>IFERROR(__xludf.DUMMYFUNCTION("""COMPUTED_VALUE"""),"TERI")</f>
        <v>TERI</v>
      </c>
      <c r="C69" s="8" t="str">
        <f>IFERROR(__xludf.DUMMYFUNCTION("""COMPUTED_VALUE"""),"HERNAEO")</f>
        <v>HERNAEO</v>
      </c>
      <c r="D69" s="8" t="str">
        <f>IFERROR(__xludf.DUMMYFUNCTION("""COMPUTED_VALUE"""),"FL")</f>
        <v>FL</v>
      </c>
      <c r="E69" s="8" t="str">
        <f>IFERROR(__xludf.DUMMYFUNCTION("""COMPUTED_VALUE"""),"USA")</f>
        <v>USA</v>
      </c>
      <c r="F69" s="8" t="str">
        <f>IFERROR(__xludf.DUMMYFUNCTION("""COMPUTED_VALUE"""),"WOMEN B CRICKET DBLS")</f>
        <v>WOMEN B CRICKET DBLS</v>
      </c>
      <c r="G69" s="8" t="str">
        <f>IFERROR(__xludf.DUMMYFUNCTION("""COMPUTED_VALUE"""),"3")</f>
        <v>3</v>
      </c>
      <c r="H69" s="8" t="str">
        <f>IFERROR(__xludf.DUMMYFUNCTION("""COMPUTED_VALUE"""),"BS 37 FINALS")</f>
        <v>BS 37 FINALS</v>
      </c>
      <c r="I69" s="9">
        <f>IFERROR(__xludf.DUMMYFUNCTION("""COMPUTED_VALUE"""),45078.0)</f>
        <v>45078</v>
      </c>
      <c r="J69" s="9">
        <f>IFERROR(__xludf.DUMMYFUNCTION("""COMPUTED_VALUE"""),46174.0)</f>
        <v>46174</v>
      </c>
      <c r="K69" s="1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7" t="str">
        <f>IFERROR(__xludf.DUMMYFUNCTION("""COMPUTED_VALUE"""),"GALLEY")</f>
        <v>GALLEY</v>
      </c>
      <c r="B70" s="8" t="str">
        <f>IFERROR(__xludf.DUMMYFUNCTION("""COMPUTED_VALUE"""),"CATHERINE")</f>
        <v>CATHERINE</v>
      </c>
      <c r="C70" s="8" t="str">
        <f>IFERROR(__xludf.DUMMYFUNCTION("""COMPUTED_VALUE"""),"JEANNETTE")</f>
        <v>JEANNETTE</v>
      </c>
      <c r="D70" s="8" t="str">
        <f>IFERROR(__xludf.DUMMYFUNCTION("""COMPUTED_VALUE"""),"PA")</f>
        <v>PA</v>
      </c>
      <c r="E70" s="8" t="str">
        <f>IFERROR(__xludf.DUMMYFUNCTION("""COMPUTED_VALUE"""),"USA")</f>
        <v>USA</v>
      </c>
      <c r="F70" s="8" t="str">
        <f>IFERROR(__xludf.DUMMYFUNCTION("""COMPUTED_VALUE"""),"WOMEN SNG COMBO")</f>
        <v>WOMEN SNG COMBO</v>
      </c>
      <c r="G70" s="8" t="str">
        <f>IFERROR(__xludf.DUMMYFUNCTION("""COMPUTED_VALUE"""),"2ND")</f>
        <v>2ND</v>
      </c>
      <c r="H70" s="8" t="str">
        <f>IFERROR(__xludf.DUMMYFUNCTION("""COMPUTED_VALUE"""),"SC REGIONAL BS 38")</f>
        <v>SC REGIONAL BS 38</v>
      </c>
      <c r="I70" s="9">
        <f>IFERROR(__xludf.DUMMYFUNCTION("""COMPUTED_VALUE"""),45444.0)</f>
        <v>45444</v>
      </c>
      <c r="J70" s="9">
        <f>IFERROR(__xludf.DUMMYFUNCTION("""COMPUTED_VALUE"""),46539.0)</f>
        <v>46539</v>
      </c>
      <c r="K70" s="1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7" t="str">
        <f>IFERROR(__xludf.DUMMYFUNCTION("""COMPUTED_VALUE"""),"GASS")</f>
        <v>GASS</v>
      </c>
      <c r="B71" s="8" t="str">
        <f>IFERROR(__xludf.DUMMYFUNCTION("""COMPUTED_VALUE"""),"DANIELLE")</f>
        <v>DANIELLE</v>
      </c>
      <c r="C71" s="8" t="str">
        <f>IFERROR(__xludf.DUMMYFUNCTION("""COMPUTED_VALUE"""),"SIOUX CITY")</f>
        <v>SIOUX CITY</v>
      </c>
      <c r="D71" s="8" t="str">
        <f>IFERROR(__xludf.DUMMYFUNCTION("""COMPUTED_VALUE"""),"IA")</f>
        <v>IA</v>
      </c>
      <c r="E71" s="8" t="str">
        <f>IFERROR(__xludf.DUMMYFUNCTION("""COMPUTED_VALUE"""),"USA")</f>
        <v>USA</v>
      </c>
      <c r="F71" s="8" t="str">
        <f>IFERROR(__xludf.DUMMYFUNCTION("""COMPUTED_VALUE"""),"WOMENS DBLS COMBO")</f>
        <v>WOMENS DBLS COMBO</v>
      </c>
      <c r="G71" s="8" t="str">
        <f>IFERROR(__xludf.DUMMYFUNCTION("""COMPUTED_VALUE"""),"3RD")</f>
        <v>3RD</v>
      </c>
      <c r="H71" s="8" t="str">
        <f>IFERROR(__xludf.DUMMYFUNCTION("""COMPUTED_VALUE"""),"NE REGIONAL BS 38")</f>
        <v>NE REGIONAL BS 38</v>
      </c>
      <c r="I71" s="9">
        <f>IFERROR(__xludf.DUMMYFUNCTION("""COMPUTED_VALUE"""),45444.0)</f>
        <v>45444</v>
      </c>
      <c r="J71" s="9">
        <f>IFERROR(__xludf.DUMMYFUNCTION("""COMPUTED_VALUE"""),46539.0)</f>
        <v>46539</v>
      </c>
      <c r="K71" s="1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7" t="str">
        <f>IFERROR(__xludf.DUMMYFUNCTION("""COMPUTED_VALUE"""),"GILLEN")</f>
        <v>GILLEN</v>
      </c>
      <c r="B72" s="8" t="str">
        <f>IFERROR(__xludf.DUMMYFUNCTION("""COMPUTED_VALUE"""),"CORRIEANNE")</f>
        <v>CORRIEANNE</v>
      </c>
      <c r="C72" s="8" t="str">
        <f>IFERROR(__xludf.DUMMYFUNCTION("""COMPUTED_VALUE"""),"COLORADO SPRINGS")</f>
        <v>COLORADO SPRINGS</v>
      </c>
      <c r="D72" s="8" t="str">
        <f>IFERROR(__xludf.DUMMYFUNCTION("""COMPUTED_VALUE"""),"CO")</f>
        <v>CO</v>
      </c>
      <c r="E72" s="8" t="str">
        <f>IFERROR(__xludf.DUMMYFUNCTION("""COMPUTED_VALUE"""),"USA")</f>
        <v>USA</v>
      </c>
      <c r="F72" s="8" t="str">
        <f>IFERROR(__xludf.DUMMYFUNCTION("""COMPUTED_VALUE"""),"WOMEN SINGLES COMBO")</f>
        <v>WOMEN SINGLES COMBO</v>
      </c>
      <c r="G72" s="8" t="str">
        <f>IFERROR(__xludf.DUMMYFUNCTION("""COMPUTED_VALUE"""),"3RD")</f>
        <v>3RD</v>
      </c>
      <c r="H72" s="8" t="str">
        <f>IFERROR(__xludf.DUMMYFUNCTION("""COMPUTED_VALUE"""),"WY REGIONAL BS 36")</f>
        <v>WY REGIONAL BS 36</v>
      </c>
      <c r="I72" s="9">
        <f>IFERROR(__xludf.DUMMYFUNCTION("""COMPUTED_VALUE"""),44713.0)</f>
        <v>44713</v>
      </c>
      <c r="J72" s="9">
        <f>IFERROR(__xludf.DUMMYFUNCTION("""COMPUTED_VALUE"""),45809.0)</f>
        <v>45809</v>
      </c>
      <c r="K72" s="1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7" t="str">
        <f>IFERROR(__xludf.DUMMYFUNCTION("""COMPUTED_VALUE"""),"GILSTRAP")</f>
        <v>GILSTRAP</v>
      </c>
      <c r="B73" s="8" t="str">
        <f>IFERROR(__xludf.DUMMYFUNCTION("""COMPUTED_VALUE"""),"VICTORIA")</f>
        <v>VICTORIA</v>
      </c>
      <c r="C73" s="8" t="str">
        <f>IFERROR(__xludf.DUMMYFUNCTION("""COMPUTED_VALUE"""),"KOKOMO")</f>
        <v>KOKOMO</v>
      </c>
      <c r="D73" s="8" t="str">
        <f>IFERROR(__xludf.DUMMYFUNCTION("""COMPUTED_VALUE"""),"IN")</f>
        <v>IN</v>
      </c>
      <c r="E73" s="8" t="str">
        <f>IFERROR(__xludf.DUMMYFUNCTION("""COMPUTED_VALUE"""),"USA")</f>
        <v>USA</v>
      </c>
      <c r="F73" s="8" t="str">
        <f>IFERROR(__xludf.DUMMYFUNCTION("""COMPUTED_VALUE"""),"TOP GUN WOMEN B SNG CRICKET")</f>
        <v>TOP GUN WOMEN B SNG CRICKET</v>
      </c>
      <c r="G73" s="8" t="str">
        <f>IFERROR(__xludf.DUMMYFUNCTION("""COMPUTED_VALUE"""),"3RD")</f>
        <v>3RD</v>
      </c>
      <c r="H73" s="8" t="str">
        <f>IFERROR(__xludf.DUMMYFUNCTION("""COMPUTED_VALUE"""),"BS 38 FINALS")</f>
        <v>BS 38 FINALS</v>
      </c>
      <c r="I73" s="9">
        <f>IFERROR(__xludf.DUMMYFUNCTION("""COMPUTED_VALUE"""),45444.0)</f>
        <v>45444</v>
      </c>
      <c r="J73" s="9">
        <f>IFERROR(__xludf.DUMMYFUNCTION("""COMPUTED_VALUE"""),46539.0)</f>
        <v>46539</v>
      </c>
      <c r="K73" s="10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7" t="str">
        <f>IFERROR(__xludf.DUMMYFUNCTION("""COMPUTED_VALUE"""),"GLENN")</f>
        <v>GLENN</v>
      </c>
      <c r="B74" s="8" t="str">
        <f>IFERROR(__xludf.DUMMYFUNCTION("""COMPUTED_VALUE"""),"AUTUMN")</f>
        <v>AUTUMN</v>
      </c>
      <c r="C74" s="8" t="str">
        <f>IFERROR(__xludf.DUMMYFUNCTION("""COMPUTED_VALUE"""),"MASCOT")</f>
        <v>MASCOT</v>
      </c>
      <c r="D74" s="8" t="str">
        <f>IFERROR(__xludf.DUMMYFUNCTION("""COMPUTED_VALUE"""),"TN")</f>
        <v>TN</v>
      </c>
      <c r="E74" s="8" t="str">
        <f>IFERROR(__xludf.DUMMYFUNCTION("""COMPUTED_VALUE"""),"USA")</f>
        <v>USA</v>
      </c>
      <c r="F74" s="8" t="str">
        <f>IFERROR(__xludf.DUMMYFUNCTION("""COMPUTED_VALUE"""),"WOMENS 301 DBLS")</f>
        <v>WOMENS 301 DBLS</v>
      </c>
      <c r="G74" s="8" t="str">
        <f>IFERROR(__xludf.DUMMYFUNCTION("""COMPUTED_VALUE"""),"3")</f>
        <v>3</v>
      </c>
      <c r="H74" s="8" t="str">
        <f>IFERROR(__xludf.DUMMYFUNCTION("""COMPUTED_VALUE"""),"BS 37 SC")</f>
        <v>BS 37 SC</v>
      </c>
      <c r="I74" s="9">
        <f>IFERROR(__xludf.DUMMYFUNCTION("""COMPUTED_VALUE"""),45078.0)</f>
        <v>45078</v>
      </c>
      <c r="J74" s="9">
        <f>IFERROR(__xludf.DUMMYFUNCTION("""COMPUTED_VALUE"""),46174.0)</f>
        <v>46174</v>
      </c>
      <c r="K74" s="10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7" t="str">
        <f>IFERROR(__xludf.DUMMYFUNCTION("""COMPUTED_VALUE"""),"GOFORTH")</f>
        <v>GOFORTH</v>
      </c>
      <c r="B75" s="8" t="str">
        <f>IFERROR(__xludf.DUMMYFUNCTION("""COMPUTED_VALUE"""),"KELSEY")</f>
        <v>KELSEY</v>
      </c>
      <c r="C75" s="8" t="str">
        <f>IFERROR(__xludf.DUMMYFUNCTION("""COMPUTED_VALUE"""),"JOSEPH")</f>
        <v>JOSEPH</v>
      </c>
      <c r="D75" s="8" t="str">
        <f>IFERROR(__xludf.DUMMYFUNCTION("""COMPUTED_VALUE"""),"MO")</f>
        <v>MO</v>
      </c>
      <c r="E75" s="8" t="str">
        <f>IFERROR(__xludf.DUMMYFUNCTION("""COMPUTED_VALUE"""),"USA")</f>
        <v>USA</v>
      </c>
      <c r="F75" s="8" t="str">
        <f>IFERROR(__xludf.DUMMYFUNCTION("""COMPUTED_VALUE"""),"WOMEN DBLS COMBO")</f>
        <v>WOMEN DBLS COMBO</v>
      </c>
      <c r="G75" s="8" t="str">
        <f>IFERROR(__xludf.DUMMYFUNCTION("""COMPUTED_VALUE"""),"3RD")</f>
        <v>3RD</v>
      </c>
      <c r="H75" s="8" t="str">
        <f>IFERROR(__xludf.DUMMYFUNCTION("""COMPUTED_VALUE"""),"NE REGIONAL BS 38")</f>
        <v>NE REGIONAL BS 38</v>
      </c>
      <c r="I75" s="9">
        <f>IFERROR(__xludf.DUMMYFUNCTION("""COMPUTED_VALUE"""),45444.0)</f>
        <v>45444</v>
      </c>
      <c r="J75" s="9">
        <f>IFERROR(__xludf.DUMMYFUNCTION("""COMPUTED_VALUE"""),46539.0)</f>
        <v>46539</v>
      </c>
      <c r="K75" s="10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7" t="str">
        <f>IFERROR(__xludf.DUMMYFUNCTION("""COMPUTED_VALUE"""),"GOOD")</f>
        <v>GOOD</v>
      </c>
      <c r="B76" s="8" t="str">
        <f>IFERROR(__xludf.DUMMYFUNCTION("""COMPUTED_VALUE"""),"CARA")</f>
        <v>CARA</v>
      </c>
      <c r="C76" s="8" t="str">
        <f>IFERROR(__xludf.DUMMYFUNCTION("""COMPUTED_VALUE"""),"METRAIRIE")</f>
        <v>METRAIRIE</v>
      </c>
      <c r="D76" s="8" t="str">
        <f>IFERROR(__xludf.DUMMYFUNCTION("""COMPUTED_VALUE"""),"LA")</f>
        <v>LA</v>
      </c>
      <c r="E76" s="8" t="str">
        <f>IFERROR(__xludf.DUMMYFUNCTION("""COMPUTED_VALUE"""),"USA")</f>
        <v>USA</v>
      </c>
      <c r="F76" s="8" t="str">
        <f>IFERROR(__xludf.DUMMYFUNCTION("""COMPUTED_VALUE"""),"TOP GUN WOMEN SINGLES")</f>
        <v>TOP GUN WOMEN SINGLES</v>
      </c>
      <c r="G76" s="8" t="str">
        <f>IFERROR(__xludf.DUMMYFUNCTION("""COMPUTED_VALUE"""),"2ND")</f>
        <v>2ND</v>
      </c>
      <c r="H76" s="8" t="str">
        <f>IFERROR(__xludf.DUMMYFUNCTION("""COMPUTED_VALUE"""),"BULLSHOOTER 36 fINALS")</f>
        <v>BULLSHOOTER 36 fINALS</v>
      </c>
      <c r="I76" s="9">
        <f>IFERROR(__xludf.DUMMYFUNCTION("""COMPUTED_VALUE"""),44713.0)</f>
        <v>44713</v>
      </c>
      <c r="J76" s="9">
        <f>IFERROR(__xludf.DUMMYFUNCTION("""COMPUTED_VALUE"""),45809.0)</f>
        <v>45809</v>
      </c>
      <c r="K76" s="10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7" t="str">
        <f>IFERROR(__xludf.DUMMYFUNCTION("""COMPUTED_VALUE"""),"Graybeal")</f>
        <v>Graybeal</v>
      </c>
      <c r="B77" s="8" t="str">
        <f>IFERROR(__xludf.DUMMYFUNCTION("""COMPUTED_VALUE"""),"Michelle")</f>
        <v>Michelle</v>
      </c>
      <c r="C77" s="8"/>
      <c r="D77" s="8"/>
      <c r="E77" s="8"/>
      <c r="F77" s="8" t="str">
        <f>IFERROR(__xludf.DUMMYFUNCTION("""COMPUTED_VALUE"""),"ADO Top 10 2021")</f>
        <v>ADO Top 10 2021</v>
      </c>
      <c r="G77" s="8"/>
      <c r="H77" s="8"/>
      <c r="I77" s="9">
        <f>IFERROR(__xludf.DUMMYFUNCTION("""COMPUTED_VALUE"""),44348.0)</f>
        <v>44348</v>
      </c>
      <c r="J77" s="9">
        <f>IFERROR(__xludf.DUMMYFUNCTION("""COMPUTED_VALUE"""),46539.0)</f>
        <v>46539</v>
      </c>
      <c r="K77" s="10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7" t="str">
        <f>IFERROR(__xludf.DUMMYFUNCTION("""COMPUTED_VALUE"""),"Halbert")</f>
        <v>Halbert</v>
      </c>
      <c r="B78" s="8" t="str">
        <f>IFERROR(__xludf.DUMMYFUNCTION("""COMPUTED_VALUE"""),"Lyndsay")</f>
        <v>Lyndsay</v>
      </c>
      <c r="C78" s="8" t="str">
        <f>IFERROR(__xludf.DUMMYFUNCTION("""COMPUTED_VALUE"""),"Lakeland")</f>
        <v>Lakeland</v>
      </c>
      <c r="D78" s="8" t="str">
        <f>IFERROR(__xludf.DUMMYFUNCTION("""COMPUTED_VALUE"""),"FL")</f>
        <v>FL</v>
      </c>
      <c r="E78" s="8" t="str">
        <f>IFERROR(__xludf.DUMMYFUNCTION("""COMPUTED_VALUE"""),"USA")</f>
        <v>USA</v>
      </c>
      <c r="F78" s="8" t="str">
        <f>IFERROR(__xludf.DUMMYFUNCTION("""COMPUTED_VALUE"""),"Women A/AA Combo Luck")</f>
        <v>Women A/AA Combo Luck</v>
      </c>
      <c r="G78" s="8" t="str">
        <f>IFERROR(__xludf.DUMMYFUNCTION("""COMPUTED_VALUE"""),"4th")</f>
        <v>4th</v>
      </c>
      <c r="H78" s="8" t="str">
        <f>IFERROR(__xludf.DUMMYFUNCTION("""COMPUTED_VALUE"""),"BullShooter 34 Finals")</f>
        <v>BullShooter 34 Finals</v>
      </c>
      <c r="I78" s="9">
        <f>IFERROR(__xludf.DUMMYFUNCTION("""COMPUTED_VALUE"""),43617.0)</f>
        <v>43617</v>
      </c>
      <c r="J78" s="9">
        <f>IFERROR(__xludf.DUMMYFUNCTION("""COMPUTED_VALUE"""),45809.0)</f>
        <v>45809</v>
      </c>
      <c r="K78" s="10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7" t="str">
        <f>IFERROR(__xludf.DUMMYFUNCTION("""COMPUTED_VALUE"""),"HALL")</f>
        <v>HALL</v>
      </c>
      <c r="B79" s="8" t="str">
        <f>IFERROR(__xludf.DUMMYFUNCTION("""COMPUTED_VALUE"""),"JESSIE")</f>
        <v>JESSIE</v>
      </c>
      <c r="C79" s="8" t="str">
        <f>IFERROR(__xludf.DUMMYFUNCTION("""COMPUTED_VALUE"""),"ST JOSEPH")</f>
        <v>ST JOSEPH</v>
      </c>
      <c r="D79" s="8" t="str">
        <f>IFERROR(__xludf.DUMMYFUNCTION("""COMPUTED_VALUE"""),"MO")</f>
        <v>MO</v>
      </c>
      <c r="E79" s="8" t="str">
        <f>IFERROR(__xludf.DUMMYFUNCTION("""COMPUTED_VALUE"""),"USA")</f>
        <v>USA</v>
      </c>
      <c r="F79" s="8" t="str">
        <f>IFERROR(__xludf.DUMMYFUNCTION("""COMPUTED_VALUE"""),"WOMENS DBLS COMBO")</f>
        <v>WOMENS DBLS COMBO</v>
      </c>
      <c r="G79" s="8" t="str">
        <f>IFERROR(__xludf.DUMMYFUNCTION("""COMPUTED_VALUE"""),"1ST")</f>
        <v>1ST</v>
      </c>
      <c r="H79" s="8" t="str">
        <f>IFERROR(__xludf.DUMMYFUNCTION("""COMPUTED_VALUE"""),"NE REGIONAL BS 38")</f>
        <v>NE REGIONAL BS 38</v>
      </c>
      <c r="I79" s="9">
        <f>IFERROR(__xludf.DUMMYFUNCTION("""COMPUTED_VALUE"""),45444.0)</f>
        <v>45444</v>
      </c>
      <c r="J79" s="9">
        <f>IFERROR(__xludf.DUMMYFUNCTION("""COMPUTED_VALUE"""),46539.0)</f>
        <v>46539</v>
      </c>
      <c r="K79" s="10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7" t="str">
        <f>IFERROR(__xludf.DUMMYFUNCTION("""COMPUTED_VALUE"""),"HALL")</f>
        <v>HALL</v>
      </c>
      <c r="B80" s="8" t="str">
        <f>IFERROR(__xludf.DUMMYFUNCTION("""COMPUTED_VALUE"""),"SUZIE")</f>
        <v>SUZIE</v>
      </c>
      <c r="C80" s="8" t="str">
        <f>IFERROR(__xludf.DUMMYFUNCTION("""COMPUTED_VALUE"""),"HURST")</f>
        <v>HURST</v>
      </c>
      <c r="D80" s="8" t="str">
        <f>IFERROR(__xludf.DUMMYFUNCTION("""COMPUTED_VALUE"""),"TX")</f>
        <v>TX</v>
      </c>
      <c r="E80" s="8" t="str">
        <f>IFERROR(__xludf.DUMMYFUNCTION("""COMPUTED_VALUE"""),"USA")</f>
        <v>USA</v>
      </c>
      <c r="F80" s="8" t="str">
        <f>IFERROR(__xludf.DUMMYFUNCTION("""COMPUTED_VALUE"""),"WOMENS DBLS COMBO")</f>
        <v>WOMENS DBLS COMBO</v>
      </c>
      <c r="G80" s="8" t="str">
        <f>IFERROR(__xludf.DUMMYFUNCTION("""COMPUTED_VALUE"""),"2ND")</f>
        <v>2ND</v>
      </c>
      <c r="H80" s="8" t="str">
        <f>IFERROR(__xludf.DUMMYFUNCTION("""COMPUTED_VALUE"""),"TX REGIONAL BS 36")</f>
        <v>TX REGIONAL BS 36</v>
      </c>
      <c r="I80" s="9">
        <f>IFERROR(__xludf.DUMMYFUNCTION("""COMPUTED_VALUE"""),44713.0)</f>
        <v>44713</v>
      </c>
      <c r="J80" s="9">
        <f>IFERROR(__xludf.DUMMYFUNCTION("""COMPUTED_VALUE"""),45809.0)</f>
        <v>45809</v>
      </c>
      <c r="K80" s="10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7" t="str">
        <f>IFERROR(__xludf.DUMMYFUNCTION("""COMPUTED_VALUE"""),"HAMMOND")</f>
        <v>HAMMOND</v>
      </c>
      <c r="B81" s="8" t="str">
        <f>IFERROR(__xludf.DUMMYFUNCTION("""COMPUTED_VALUE"""),"KELLY")</f>
        <v>KELLY</v>
      </c>
      <c r="C81" s="8" t="str">
        <f>IFERROR(__xludf.DUMMYFUNCTION("""COMPUTED_VALUE"""),"SPRINGHILL")</f>
        <v>SPRINGHILL</v>
      </c>
      <c r="D81" s="8" t="str">
        <f>IFERROR(__xludf.DUMMYFUNCTION("""COMPUTED_VALUE"""),"KS")</f>
        <v>KS</v>
      </c>
      <c r="E81" s="8" t="str">
        <f>IFERROR(__xludf.DUMMYFUNCTION("""COMPUTED_VALUE"""),"USA")</f>
        <v>USA</v>
      </c>
      <c r="F81" s="8" t="str">
        <f>IFERROR(__xludf.DUMMYFUNCTION("""COMPUTED_VALUE"""),"WOMENS DBLS 301")</f>
        <v>WOMENS DBLS 301</v>
      </c>
      <c r="G81" s="8" t="str">
        <f>IFERROR(__xludf.DUMMYFUNCTION("""COMPUTED_VALUE"""),"4TH")</f>
        <v>4TH</v>
      </c>
      <c r="H81" s="8" t="str">
        <f>IFERROR(__xludf.DUMMYFUNCTION("""COMPUTED_VALUE"""),"BULLSHOOTER 36 FINALS")</f>
        <v>BULLSHOOTER 36 FINALS</v>
      </c>
      <c r="I81" s="9">
        <f>IFERROR(__xludf.DUMMYFUNCTION("""COMPUTED_VALUE"""),44713.0)</f>
        <v>44713</v>
      </c>
      <c r="J81" s="9">
        <f>IFERROR(__xludf.DUMMYFUNCTION("""COMPUTED_VALUE"""),45809.0)</f>
        <v>45809</v>
      </c>
      <c r="K81" s="10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7" t="str">
        <f>IFERROR(__xludf.DUMMYFUNCTION("""COMPUTED_VALUE"""),"HARRINGTON")</f>
        <v>HARRINGTON</v>
      </c>
      <c r="B82" s="8" t="str">
        <f>IFERROR(__xludf.DUMMYFUNCTION("""COMPUTED_VALUE"""),"SARAH")</f>
        <v>SARAH</v>
      </c>
      <c r="C82" s="8" t="str">
        <f>IFERROR(__xludf.DUMMYFUNCTION("""COMPUTED_VALUE"""),"WATERLOO")</f>
        <v>WATERLOO</v>
      </c>
      <c r="D82" s="8" t="str">
        <f>IFERROR(__xludf.DUMMYFUNCTION("""COMPUTED_VALUE"""),"NY")</f>
        <v>NY</v>
      </c>
      <c r="E82" s="8" t="str">
        <f>IFERROR(__xludf.DUMMYFUNCTION("""COMPUTED_VALUE"""),"USA")</f>
        <v>USA</v>
      </c>
      <c r="F82" s="8" t="str">
        <f>IFERROR(__xludf.DUMMYFUNCTION("""COMPUTED_VALUE"""),"WOMENS DBLS 301")</f>
        <v>WOMENS DBLS 301</v>
      </c>
      <c r="G82" s="8" t="str">
        <f>IFERROR(__xludf.DUMMYFUNCTION("""COMPUTED_VALUE"""),"3RD")</f>
        <v>3RD</v>
      </c>
      <c r="H82" s="8" t="str">
        <f>IFERROR(__xludf.DUMMYFUNCTION("""COMPUTED_VALUE"""),"NY REGIONAL BS 36")</f>
        <v>NY REGIONAL BS 36</v>
      </c>
      <c r="I82" s="9">
        <f>IFERROR(__xludf.DUMMYFUNCTION("""COMPUTED_VALUE"""),44713.0)</f>
        <v>44713</v>
      </c>
      <c r="J82" s="9">
        <f>IFERROR(__xludf.DUMMYFUNCTION("""COMPUTED_VALUE"""),45809.0)</f>
        <v>45809</v>
      </c>
      <c r="K82" s="10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7" t="str">
        <f>IFERROR(__xludf.DUMMYFUNCTION("""COMPUTED_VALUE"""),"HARRIS")</f>
        <v>HARRIS</v>
      </c>
      <c r="B83" s="8" t="str">
        <f>IFERROR(__xludf.DUMMYFUNCTION("""COMPUTED_VALUE"""),"INES")</f>
        <v>INES</v>
      </c>
      <c r="C83" s="8" t="str">
        <f>IFERROR(__xludf.DUMMYFUNCTION("""COMPUTED_VALUE"""),"ORMOND")</f>
        <v>ORMOND</v>
      </c>
      <c r="D83" s="8" t="str">
        <f>IFERROR(__xludf.DUMMYFUNCTION("""COMPUTED_VALUE"""),"FL")</f>
        <v>FL</v>
      </c>
      <c r="E83" s="8" t="str">
        <f>IFERROR(__xludf.DUMMYFUNCTION("""COMPUTED_VALUE"""),"USA")</f>
        <v>USA</v>
      </c>
      <c r="F83" s="8" t="str">
        <f>IFERROR(__xludf.DUMMYFUNCTION("""COMPUTED_VALUE"""),"WOMENS DBLS 301")</f>
        <v>WOMENS DBLS 301</v>
      </c>
      <c r="G83" s="8" t="str">
        <f>IFERROR(__xludf.DUMMYFUNCTION("""COMPUTED_VALUE"""),"3RD")</f>
        <v>3RD</v>
      </c>
      <c r="H83" s="8" t="str">
        <f>IFERROR(__xludf.DUMMYFUNCTION("""COMPUTED_VALUE"""),"FL REGIONAL BS 38")</f>
        <v>FL REGIONAL BS 38</v>
      </c>
      <c r="I83" s="9">
        <f>IFERROR(__xludf.DUMMYFUNCTION("""COMPUTED_VALUE"""),45444.0)</f>
        <v>45444</v>
      </c>
      <c r="J83" s="9">
        <f>IFERROR(__xludf.DUMMYFUNCTION("""COMPUTED_VALUE"""),46539.0)</f>
        <v>46539</v>
      </c>
      <c r="K83" s="10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7" t="str">
        <f>IFERROR(__xludf.DUMMYFUNCTION("""COMPUTED_VALUE"""),"HARRISON")</f>
        <v>HARRISON</v>
      </c>
      <c r="B84" s="8" t="str">
        <f>IFERROR(__xludf.DUMMYFUNCTION("""COMPUTED_VALUE"""),"AUTUMN")</f>
        <v>AUTUMN</v>
      </c>
      <c r="C84" s="8" t="str">
        <f>IFERROR(__xludf.DUMMYFUNCTION("""COMPUTED_VALUE"""),"BEAR CREEK TWP")</f>
        <v>BEAR CREEK TWP</v>
      </c>
      <c r="D84" s="8" t="str">
        <f>IFERROR(__xludf.DUMMYFUNCTION("""COMPUTED_VALUE"""),"PA")</f>
        <v>PA</v>
      </c>
      <c r="E84" s="8" t="str">
        <f>IFERROR(__xludf.DUMMYFUNCTION("""COMPUTED_VALUE"""),"USA")</f>
        <v>USA</v>
      </c>
      <c r="F84" s="8" t="str">
        <f>IFERROR(__xludf.DUMMYFUNCTION("""COMPUTED_VALUE"""),"WOMENS 301 DBLS")</f>
        <v>WOMENS 301 DBLS</v>
      </c>
      <c r="G84" s="8" t="str">
        <f>IFERROR(__xludf.DUMMYFUNCTION("""COMPUTED_VALUE"""),"1")</f>
        <v>1</v>
      </c>
      <c r="H84" s="8" t="str">
        <f>IFERROR(__xludf.DUMMYFUNCTION("""COMPUTED_VALUE"""),"BS 37 PA")</f>
        <v>BS 37 PA</v>
      </c>
      <c r="I84" s="9">
        <f>IFERROR(__xludf.DUMMYFUNCTION("""COMPUTED_VALUE"""),45078.0)</f>
        <v>45078</v>
      </c>
      <c r="J84" s="9">
        <f>IFERROR(__xludf.DUMMYFUNCTION("""COMPUTED_VALUE"""),46174.0)</f>
        <v>46174</v>
      </c>
      <c r="K84" s="10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7" t="str">
        <f>IFERROR(__xludf.DUMMYFUNCTION("""COMPUTED_VALUE"""),"HASTINGS")</f>
        <v>HASTINGS</v>
      </c>
      <c r="B85" s="8" t="str">
        <f>IFERROR(__xludf.DUMMYFUNCTION("""COMPUTED_VALUE"""),"SAMANTHA")</f>
        <v>SAMANTHA</v>
      </c>
      <c r="C85" s="8" t="str">
        <f>IFERROR(__xludf.DUMMYFUNCTION("""COMPUTED_VALUE"""),"PARACHUTE")</f>
        <v>PARACHUTE</v>
      </c>
      <c r="D85" s="8" t="str">
        <f>IFERROR(__xludf.DUMMYFUNCTION("""COMPUTED_VALUE"""),"CO")</f>
        <v>CO</v>
      </c>
      <c r="E85" s="8" t="str">
        <f>IFERROR(__xludf.DUMMYFUNCTION("""COMPUTED_VALUE"""),"USA")</f>
        <v>USA</v>
      </c>
      <c r="F85" s="8" t="str">
        <f>IFERROR(__xludf.DUMMYFUNCTION("""COMPUTED_VALUE"""),"WOMEN DBLS COMBO")</f>
        <v>WOMEN DBLS COMBO</v>
      </c>
      <c r="G85" s="8" t="str">
        <f>IFERROR(__xludf.DUMMYFUNCTION("""COMPUTED_VALUE"""),"3")</f>
        <v>3</v>
      </c>
      <c r="H85" s="8" t="str">
        <f>IFERROR(__xludf.DUMMYFUNCTION("""COMPUTED_VALUE"""),"BS 37 NE")</f>
        <v>BS 37 NE</v>
      </c>
      <c r="I85" s="9">
        <f>IFERROR(__xludf.DUMMYFUNCTION("""COMPUTED_VALUE"""),45078.0)</f>
        <v>45078</v>
      </c>
      <c r="J85" s="9">
        <f>IFERROR(__xludf.DUMMYFUNCTION("""COMPUTED_VALUE"""),46174.0)</f>
        <v>46174</v>
      </c>
      <c r="K85" s="10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7" t="str">
        <f>IFERROR(__xludf.DUMMYFUNCTION("""COMPUTED_VALUE"""),"HASTINGS")</f>
        <v>HASTINGS</v>
      </c>
      <c r="B86" s="8" t="str">
        <f>IFERROR(__xludf.DUMMYFUNCTION("""COMPUTED_VALUE"""),"MICHELLE")</f>
        <v>MICHELLE</v>
      </c>
      <c r="C86" s="8" t="str">
        <f>IFERROR(__xludf.DUMMYFUNCTION("""COMPUTED_VALUE"""),"DUBUQUE")</f>
        <v>DUBUQUE</v>
      </c>
      <c r="D86" s="8" t="str">
        <f>IFERROR(__xludf.DUMMYFUNCTION("""COMPUTED_VALUE"""),"IA")</f>
        <v>IA</v>
      </c>
      <c r="E86" s="8" t="str">
        <f>IFERROR(__xludf.DUMMYFUNCTION("""COMPUTED_VALUE"""),"USA")</f>
        <v>USA</v>
      </c>
      <c r="F86" s="8" t="str">
        <f>IFERROR(__xludf.DUMMYFUNCTION("""COMPUTED_VALUE"""),"WOMEN DBLS COMBO")</f>
        <v>WOMEN DBLS COMBO</v>
      </c>
      <c r="G86" s="8" t="str">
        <f>IFERROR(__xludf.DUMMYFUNCTION("""COMPUTED_VALUE"""),"3")</f>
        <v>3</v>
      </c>
      <c r="H86" s="8" t="str">
        <f>IFERROR(__xludf.DUMMYFUNCTION("""COMPUTED_VALUE"""),"BS 37 NE")</f>
        <v>BS 37 NE</v>
      </c>
      <c r="I86" s="9">
        <f>IFERROR(__xludf.DUMMYFUNCTION("""COMPUTED_VALUE"""),45078.0)</f>
        <v>45078</v>
      </c>
      <c r="J86" s="9">
        <f>IFERROR(__xludf.DUMMYFUNCTION("""COMPUTED_VALUE"""),46174.0)</f>
        <v>46174</v>
      </c>
      <c r="K86" s="10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7" t="str">
        <f>IFERROR(__xludf.DUMMYFUNCTION("""COMPUTED_VALUE"""),"HEDRICK")</f>
        <v>HEDRICK</v>
      </c>
      <c r="B87" s="8" t="str">
        <f>IFERROR(__xludf.DUMMYFUNCTION("""COMPUTED_VALUE"""),"NICOLE")</f>
        <v>NICOLE</v>
      </c>
      <c r="C87" s="8" t="str">
        <f>IFERROR(__xludf.DUMMYFUNCTION("""COMPUTED_VALUE"""),"LOUDONVILLE")</f>
        <v>LOUDONVILLE</v>
      </c>
      <c r="D87" s="8" t="str">
        <f>IFERROR(__xludf.DUMMYFUNCTION("""COMPUTED_VALUE"""),"OH")</f>
        <v>OH</v>
      </c>
      <c r="E87" s="8" t="str">
        <f>IFERROR(__xludf.DUMMYFUNCTION("""COMPUTED_VALUE"""),"USA")</f>
        <v>USA</v>
      </c>
      <c r="F87" s="8" t="str">
        <f>IFERROR(__xludf.DUMMYFUNCTION("""COMPUTED_VALUE"""),"WOMEN SINGLES")</f>
        <v>WOMEN SINGLES</v>
      </c>
      <c r="G87" s="8" t="str">
        <f>IFERROR(__xludf.DUMMYFUNCTION("""COMPUTED_VALUE"""),"3")</f>
        <v>3</v>
      </c>
      <c r="H87" s="8" t="str">
        <f>IFERROR(__xludf.DUMMYFUNCTION("""COMPUTED_VALUE"""),"BS 37 PA")</f>
        <v>BS 37 PA</v>
      </c>
      <c r="I87" s="9">
        <f>IFERROR(__xludf.DUMMYFUNCTION("""COMPUTED_VALUE"""),45078.0)</f>
        <v>45078</v>
      </c>
      <c r="J87" s="9">
        <f>IFERROR(__xludf.DUMMYFUNCTION("""COMPUTED_VALUE"""),46174.0)</f>
        <v>46174</v>
      </c>
      <c r="K87" s="10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7" t="str">
        <f>IFERROR(__xludf.DUMMYFUNCTION("""COMPUTED_VALUE"""),"HEWITT")</f>
        <v>HEWITT</v>
      </c>
      <c r="B88" s="8" t="str">
        <f>IFERROR(__xludf.DUMMYFUNCTION("""COMPUTED_VALUE"""),"HOLLY")</f>
        <v>HOLLY</v>
      </c>
      <c r="C88" s="8" t="str">
        <f>IFERROR(__xludf.DUMMYFUNCTION("""COMPUTED_VALUE"""),"ROSENDALE")</f>
        <v>ROSENDALE</v>
      </c>
      <c r="D88" s="8" t="str">
        <f>IFERROR(__xludf.DUMMYFUNCTION("""COMPUTED_VALUE"""),"MO")</f>
        <v>MO</v>
      </c>
      <c r="E88" s="8" t="str">
        <f>IFERROR(__xludf.DUMMYFUNCTION("""COMPUTED_VALUE"""),"USA")</f>
        <v>USA</v>
      </c>
      <c r="F88" s="8" t="str">
        <f>IFERROR(__xludf.DUMMYFUNCTION("""COMPUTED_VALUE"""),"WOMENS 301 DBLS")</f>
        <v>WOMENS 301 DBLS</v>
      </c>
      <c r="G88" s="8" t="str">
        <f>IFERROR(__xludf.DUMMYFUNCTION("""COMPUTED_VALUE"""),"3")</f>
        <v>3</v>
      </c>
      <c r="H88" s="8" t="str">
        <f>IFERROR(__xludf.DUMMYFUNCTION("""COMPUTED_VALUE"""),"BS 37 NE")</f>
        <v>BS 37 NE</v>
      </c>
      <c r="I88" s="9">
        <f>IFERROR(__xludf.DUMMYFUNCTION("""COMPUTED_VALUE"""),45078.0)</f>
        <v>45078</v>
      </c>
      <c r="J88" s="9">
        <f>IFERROR(__xludf.DUMMYFUNCTION("""COMPUTED_VALUE"""),46174.0)</f>
        <v>46174</v>
      </c>
      <c r="K88" s="1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7" t="str">
        <f>IFERROR(__xludf.DUMMYFUNCTION("""COMPUTED_VALUE"""),"HOGAN")</f>
        <v>HOGAN</v>
      </c>
      <c r="B89" s="8" t="str">
        <f>IFERROR(__xludf.DUMMYFUNCTION("""COMPUTED_VALUE"""),"MELISSA")</f>
        <v>MELISSA</v>
      </c>
      <c r="C89" s="8" t="str">
        <f>IFERROR(__xludf.DUMMYFUNCTION("""COMPUTED_VALUE"""),"LA PORTE")</f>
        <v>LA PORTE</v>
      </c>
      <c r="D89" s="8" t="str">
        <f>IFERROR(__xludf.DUMMYFUNCTION("""COMPUTED_VALUE"""),"IN")</f>
        <v>IN</v>
      </c>
      <c r="E89" s="8" t="str">
        <f>IFERROR(__xludf.DUMMYFUNCTION("""COMPUTED_VALUE"""),"USA")</f>
        <v>USA</v>
      </c>
      <c r="F89" s="8" t="str">
        <f>IFERROR(__xludf.DUMMYFUNCTION("""COMPUTED_VALUE"""),"WOMENS DBLS 301")</f>
        <v>WOMENS DBLS 301</v>
      </c>
      <c r="G89" s="8" t="str">
        <f>IFERROR(__xludf.DUMMYFUNCTION("""COMPUTED_VALUE"""),"2ND")</f>
        <v>2ND</v>
      </c>
      <c r="H89" s="8" t="str">
        <f>IFERROR(__xludf.DUMMYFUNCTION("""COMPUTED_VALUE"""),"IN REGIONAL BS 36")</f>
        <v>IN REGIONAL BS 36</v>
      </c>
      <c r="I89" s="9">
        <f>IFERROR(__xludf.DUMMYFUNCTION("""COMPUTED_VALUE"""),44713.0)</f>
        <v>44713</v>
      </c>
      <c r="J89" s="9">
        <f>IFERROR(__xludf.DUMMYFUNCTION("""COMPUTED_VALUE"""),45809.0)</f>
        <v>45809</v>
      </c>
      <c r="K89" s="10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7" t="str">
        <f>IFERROR(__xludf.DUMMYFUNCTION("""COMPUTED_VALUE"""),"HONEYMAN")</f>
        <v>HONEYMAN</v>
      </c>
      <c r="B90" s="8" t="str">
        <f>IFERROR(__xludf.DUMMYFUNCTION("""COMPUTED_VALUE"""),"BAILEY")</f>
        <v>BAILEY</v>
      </c>
      <c r="C90" s="8" t="str">
        <f>IFERROR(__xludf.DUMMYFUNCTION("""COMPUTED_VALUE"""),"LOVELAND")</f>
        <v>LOVELAND</v>
      </c>
      <c r="D90" s="8" t="str">
        <f>IFERROR(__xludf.DUMMYFUNCTION("""COMPUTED_VALUE"""),"CO")</f>
        <v>CO</v>
      </c>
      <c r="E90" s="8" t="str">
        <f>IFERROR(__xludf.DUMMYFUNCTION("""COMPUTED_VALUE"""),"USA")</f>
        <v>USA</v>
      </c>
      <c r="F90" s="8" t="str">
        <f>IFERROR(__xludf.DUMMYFUNCTION("""COMPUTED_VALUE"""),"WOMEN B COMBO LUCK")</f>
        <v>WOMEN B COMBO LUCK</v>
      </c>
      <c r="G90" s="8" t="str">
        <f>IFERROR(__xludf.DUMMYFUNCTION("""COMPUTED_VALUE"""),"2ND")</f>
        <v>2ND</v>
      </c>
      <c r="H90" s="8" t="str">
        <f>IFERROR(__xludf.DUMMYFUNCTION("""COMPUTED_VALUE"""),"BS 38 FINALS")</f>
        <v>BS 38 FINALS</v>
      </c>
      <c r="I90" s="9">
        <f>IFERROR(__xludf.DUMMYFUNCTION("""COMPUTED_VALUE"""),45444.0)</f>
        <v>45444</v>
      </c>
      <c r="J90" s="9">
        <f>IFERROR(__xludf.DUMMYFUNCTION("""COMPUTED_VALUE"""),46539.0)</f>
        <v>46539</v>
      </c>
      <c r="K90" s="10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7" t="str">
        <f>IFERROR(__xludf.DUMMYFUNCTION("""COMPUTED_VALUE"""),"HORTON")</f>
        <v>HORTON</v>
      </c>
      <c r="B91" s="8" t="str">
        <f>IFERROR(__xludf.DUMMYFUNCTION("""COMPUTED_VALUE"""),"SAVANNAH")</f>
        <v>SAVANNAH</v>
      </c>
      <c r="C91" s="8" t="str">
        <f>IFERROR(__xludf.DUMMYFUNCTION("""COMPUTED_VALUE"""),"PANA")</f>
        <v>PANA</v>
      </c>
      <c r="D91" s="8" t="str">
        <f>IFERROR(__xludf.DUMMYFUNCTION("""COMPUTED_VALUE"""),"IL")</f>
        <v>IL</v>
      </c>
      <c r="E91" s="8" t="str">
        <f>IFERROR(__xludf.DUMMYFUNCTION("""COMPUTED_VALUE"""),"USA")</f>
        <v>USA</v>
      </c>
      <c r="F91" s="8" t="str">
        <f>IFERROR(__xludf.DUMMYFUNCTION("""COMPUTED_VALUE"""),"WOMENS DBLS COMBO")</f>
        <v>WOMENS DBLS COMBO</v>
      </c>
      <c r="G91" s="8" t="str">
        <f>IFERROR(__xludf.DUMMYFUNCTION("""COMPUTED_VALUE"""),"3RD")</f>
        <v>3RD</v>
      </c>
      <c r="H91" s="8" t="str">
        <f>IFERROR(__xludf.DUMMYFUNCTION("""COMPUTED_VALUE"""),"IN REGIONAL BS 36")</f>
        <v>IN REGIONAL BS 36</v>
      </c>
      <c r="I91" s="9">
        <f>IFERROR(__xludf.DUMMYFUNCTION("""COMPUTED_VALUE"""),44713.0)</f>
        <v>44713</v>
      </c>
      <c r="J91" s="9">
        <f>IFERROR(__xludf.DUMMYFUNCTION("""COMPUTED_VALUE"""),45809.0)</f>
        <v>45809</v>
      </c>
      <c r="K91" s="10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7" t="str">
        <f>IFERROR(__xludf.DUMMYFUNCTION("""COMPUTED_VALUE"""),"HOUGH")</f>
        <v>HOUGH</v>
      </c>
      <c r="B92" s="8" t="str">
        <f>IFERROR(__xludf.DUMMYFUNCTION("""COMPUTED_VALUE"""),"KRISTI")</f>
        <v>KRISTI</v>
      </c>
      <c r="C92" s="8" t="str">
        <f>IFERROR(__xludf.DUMMYFUNCTION("""COMPUTED_VALUE"""),"MISHAWAKA")</f>
        <v>MISHAWAKA</v>
      </c>
      <c r="D92" s="8" t="str">
        <f>IFERROR(__xludf.DUMMYFUNCTION("""COMPUTED_VALUE"""),"IN")</f>
        <v>IN</v>
      </c>
      <c r="E92" s="8" t="str">
        <f>IFERROR(__xludf.DUMMYFUNCTION("""COMPUTED_VALUE"""),"USA")</f>
        <v>USA</v>
      </c>
      <c r="F92" s="8" t="str">
        <f>IFERROR(__xludf.DUMMYFUNCTION("""COMPUTED_VALUE"""),"WOMEN DBLS COMBO")</f>
        <v>WOMEN DBLS COMBO</v>
      </c>
      <c r="G92" s="8" t="str">
        <f>IFERROR(__xludf.DUMMYFUNCTION("""COMPUTED_VALUE"""),"3RD")</f>
        <v>3RD</v>
      </c>
      <c r="H92" s="8" t="str">
        <f>IFERROR(__xludf.DUMMYFUNCTION("""COMPUTED_VALUE"""),"MI REGIONAL BS 38")</f>
        <v>MI REGIONAL BS 38</v>
      </c>
      <c r="I92" s="9">
        <f>IFERROR(__xludf.DUMMYFUNCTION("""COMPUTED_VALUE"""),45444.0)</f>
        <v>45444</v>
      </c>
      <c r="J92" s="9">
        <f>IFERROR(__xludf.DUMMYFUNCTION("""COMPUTED_VALUE"""),46539.0)</f>
        <v>46539</v>
      </c>
      <c r="K92" s="10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7" t="str">
        <f>IFERROR(__xludf.DUMMYFUNCTION("""COMPUTED_VALUE"""),"HOWARD")</f>
        <v>HOWARD</v>
      </c>
      <c r="B93" s="8" t="str">
        <f>IFERROR(__xludf.DUMMYFUNCTION("""COMPUTED_VALUE"""),"CHEOLA")</f>
        <v>CHEOLA</v>
      </c>
      <c r="C93" s="8" t="str">
        <f>IFERROR(__xludf.DUMMYFUNCTION("""COMPUTED_VALUE"""),"MANSFIELD")</f>
        <v>MANSFIELD</v>
      </c>
      <c r="D93" s="8" t="str">
        <f>IFERROR(__xludf.DUMMYFUNCTION("""COMPUTED_VALUE"""),"OH")</f>
        <v>OH</v>
      </c>
      <c r="E93" s="8" t="str">
        <f>IFERROR(__xludf.DUMMYFUNCTION("""COMPUTED_VALUE"""),"USA")</f>
        <v>USA</v>
      </c>
      <c r="F93" s="8" t="str">
        <f>IFERROR(__xludf.DUMMYFUNCTION("""COMPUTED_VALUE"""),"WOMEN DBLS COMBO")</f>
        <v>WOMEN DBLS COMBO</v>
      </c>
      <c r="G93" s="8" t="str">
        <f>IFERROR(__xludf.DUMMYFUNCTION("""COMPUTED_VALUE"""),"2ND")</f>
        <v>2ND</v>
      </c>
      <c r="H93" s="8" t="str">
        <f>IFERROR(__xludf.DUMMYFUNCTION("""COMPUTED_VALUE"""),"OH REGIONAL BS 38")</f>
        <v>OH REGIONAL BS 38</v>
      </c>
      <c r="I93" s="9">
        <f>IFERROR(__xludf.DUMMYFUNCTION("""COMPUTED_VALUE"""),45444.0)</f>
        <v>45444</v>
      </c>
      <c r="J93" s="9">
        <f>IFERROR(__xludf.DUMMYFUNCTION("""COMPUTED_VALUE"""),46539.0)</f>
        <v>46539</v>
      </c>
      <c r="K93" s="10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7" t="str">
        <f>IFERROR(__xludf.DUMMYFUNCTION("""COMPUTED_VALUE"""),"Hudson")</f>
        <v>Hudson</v>
      </c>
      <c r="B94" s="8" t="str">
        <f>IFERROR(__xludf.DUMMYFUNCTION("""COMPUTED_VALUE"""),"Sandy")</f>
        <v>Sandy</v>
      </c>
      <c r="C94" s="8"/>
      <c r="D94" s="8"/>
      <c r="E94" s="8" t="str">
        <f>IFERROR(__xludf.DUMMYFUNCTION("""COMPUTED_VALUE"""),"USA")</f>
        <v>USA</v>
      </c>
      <c r="F94" s="8"/>
      <c r="G94" s="8"/>
      <c r="H94" s="8" t="str">
        <f>IFERROR(__xludf.DUMMYFUNCTION("""COMPUTED_VALUE"""),"ADO Top 25 2020")</f>
        <v>ADO Top 25 2020</v>
      </c>
      <c r="I94" s="9">
        <f>IFERROR(__xludf.DUMMYFUNCTION("""COMPUTED_VALUE"""),44348.0)</f>
        <v>44348</v>
      </c>
      <c r="J94" s="9">
        <f>IFERROR(__xludf.DUMMYFUNCTION("""COMPUTED_VALUE"""),46539.0)</f>
        <v>46539</v>
      </c>
      <c r="K94" s="10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11" t="str">
        <f>IFERROR(__xludf.DUMMYFUNCTION("""COMPUTED_VALUE"""),"Ivey")</f>
        <v>Ivey</v>
      </c>
      <c r="B95" s="12" t="str">
        <f>IFERROR(__xludf.DUMMYFUNCTION("""COMPUTED_VALUE"""),"Debbie")</f>
        <v>Debbie</v>
      </c>
      <c r="C95" s="12" t="str">
        <f>IFERROR(__xludf.DUMMYFUNCTION("""COMPUTED_VALUE"""),"LAVERNIA")</f>
        <v>LAVERNIA</v>
      </c>
      <c r="D95" s="12" t="str">
        <f>IFERROR(__xludf.DUMMYFUNCTION("""COMPUTED_VALUE"""),"TX")</f>
        <v>TX</v>
      </c>
      <c r="E95" s="12" t="str">
        <f>IFERROR(__xludf.DUMMYFUNCTION("""COMPUTED_VALUE"""),"USA")</f>
        <v>USA</v>
      </c>
      <c r="F95" s="12" t="str">
        <f>IFERROR(__xludf.DUMMYFUNCTION("""COMPUTED_VALUE"""),"WOMENS DBLS 301")</f>
        <v>WOMENS DBLS 301</v>
      </c>
      <c r="G95" s="12" t="str">
        <f>IFERROR(__xludf.DUMMYFUNCTION("""COMPUTED_VALUE"""),"2ND")</f>
        <v>2ND</v>
      </c>
      <c r="H95" s="12" t="str">
        <f>IFERROR(__xludf.DUMMYFUNCTION("""COMPUTED_VALUE"""),"TX REGIONAL BS 36")</f>
        <v>TX REGIONAL BS 36</v>
      </c>
      <c r="I95" s="13">
        <f>IFERROR(__xludf.DUMMYFUNCTION("""COMPUTED_VALUE"""),44713.0)</f>
        <v>44713</v>
      </c>
      <c r="J95" s="13">
        <f>IFERROR(__xludf.DUMMYFUNCTION("""COMPUTED_VALUE"""),45809.0)</f>
        <v>45809</v>
      </c>
      <c r="K95" s="10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7" t="str">
        <f>IFERROR(__xludf.DUMMYFUNCTION("""COMPUTED_VALUE"""),"Jalbert")</f>
        <v>Jalbert</v>
      </c>
      <c r="B96" s="8" t="str">
        <f>IFERROR(__xludf.DUMMYFUNCTION("""COMPUTED_VALUE"""),"Mellisa")</f>
        <v>Mellisa</v>
      </c>
      <c r="C96" s="8"/>
      <c r="D96" s="8"/>
      <c r="E96" s="8"/>
      <c r="F96" s="8" t="str">
        <f>IFERROR(__xludf.DUMMYFUNCTION("""COMPUTED_VALUE"""),"ADO List 2024")</f>
        <v>ADO List 2024</v>
      </c>
      <c r="G96" s="8"/>
      <c r="H96" s="8"/>
      <c r="I96" s="9">
        <f>IFERROR(__xludf.DUMMYFUNCTION("""COMPUTED_VALUE"""),43132.0)</f>
        <v>43132</v>
      </c>
      <c r="J96" s="9">
        <f>IFERROR(__xludf.DUMMYFUNCTION("""COMPUTED_VALUE"""),47635.0)</f>
        <v>47635</v>
      </c>
      <c r="K96" s="10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7" t="str">
        <f>IFERROR(__xludf.DUMMYFUNCTION("""COMPUTED_VALUE"""),"Johnson")</f>
        <v>Johnson</v>
      </c>
      <c r="B97" s="8" t="str">
        <f>IFERROR(__xludf.DUMMYFUNCTION("""COMPUTED_VALUE"""),"Janine")</f>
        <v>Janine</v>
      </c>
      <c r="C97" s="8" t="str">
        <f>IFERROR(__xludf.DUMMYFUNCTION("""COMPUTED_VALUE"""),"Chilton")</f>
        <v>Chilton</v>
      </c>
      <c r="D97" s="8" t="str">
        <f>IFERROR(__xludf.DUMMYFUNCTION("""COMPUTED_VALUE"""),"WI")</f>
        <v>WI</v>
      </c>
      <c r="E97" s="8" t="str">
        <f>IFERROR(__xludf.DUMMYFUNCTION("""COMPUTED_VALUE"""),"USA")</f>
        <v>USA</v>
      </c>
      <c r="F97" s="8" t="str">
        <f>IFERROR(__xludf.DUMMYFUNCTION("""COMPUTED_VALUE"""),"Women A 501 Doubles")</f>
        <v>Women A 501 Doubles</v>
      </c>
      <c r="G97" s="8" t="str">
        <f>IFERROR(__xludf.DUMMYFUNCTION("""COMPUTED_VALUE"""),"2nd")</f>
        <v>2nd</v>
      </c>
      <c r="H97" s="8" t="str">
        <f>IFERROR(__xludf.DUMMYFUNCTION("""COMPUTED_VALUE"""),"BullShooter 34 Finals")</f>
        <v>BullShooter 34 Finals</v>
      </c>
      <c r="I97" s="9">
        <f>IFERROR(__xludf.DUMMYFUNCTION("""COMPUTED_VALUE"""),43617.0)</f>
        <v>43617</v>
      </c>
      <c r="J97" s="9">
        <f>IFERROR(__xludf.DUMMYFUNCTION("""COMPUTED_VALUE"""),45809.0)</f>
        <v>45809</v>
      </c>
      <c r="K97" s="10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7" t="str">
        <f>IFERROR(__xludf.DUMMYFUNCTION("""COMPUTED_VALUE"""),"Johnson")</f>
        <v>Johnson</v>
      </c>
      <c r="B98" s="8" t="str">
        <f>IFERROR(__xludf.DUMMYFUNCTION("""COMPUTED_VALUE"""),"Susan")</f>
        <v>Susan</v>
      </c>
      <c r="C98" s="8" t="str">
        <f>IFERROR(__xludf.DUMMYFUNCTION("""COMPUTED_VALUE"""),"Hampshire")</f>
        <v>Hampshire</v>
      </c>
      <c r="D98" s="8" t="str">
        <f>IFERROR(__xludf.DUMMYFUNCTION("""COMPUTED_VALUE"""),"IL")</f>
        <v>IL</v>
      </c>
      <c r="E98" s="8" t="str">
        <f>IFERROR(__xludf.DUMMYFUNCTION("""COMPUTED_VALUE"""),"USA")</f>
        <v>USA</v>
      </c>
      <c r="F98" s="8" t="str">
        <f>IFERROR(__xludf.DUMMYFUNCTION("""COMPUTED_VALUE"""),"Women A Cricket Doubles")</f>
        <v>Women A Cricket Doubles</v>
      </c>
      <c r="G98" s="8" t="str">
        <f>IFERROR(__xludf.DUMMYFUNCTION("""COMPUTED_VALUE"""),"2nd")</f>
        <v>2nd</v>
      </c>
      <c r="H98" s="8" t="str">
        <f>IFERROR(__xludf.DUMMYFUNCTION("""COMPUTED_VALUE"""),"BullShooter 34 Finals")</f>
        <v>BullShooter 34 Finals</v>
      </c>
      <c r="I98" s="9">
        <f>IFERROR(__xludf.DUMMYFUNCTION("""COMPUTED_VALUE"""),43617.0)</f>
        <v>43617</v>
      </c>
      <c r="J98" s="9">
        <f>IFERROR(__xludf.DUMMYFUNCTION("""COMPUTED_VALUE"""),45809.0)</f>
        <v>45809</v>
      </c>
      <c r="K98" s="10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7" t="str">
        <f>IFERROR(__xludf.DUMMYFUNCTION("""COMPUTED_VALUE"""),"JONES")</f>
        <v>JONES</v>
      </c>
      <c r="B99" s="8" t="str">
        <f>IFERROR(__xludf.DUMMYFUNCTION("""COMPUTED_VALUE"""),"MARLENE")</f>
        <v>MARLENE</v>
      </c>
      <c r="C99" s="8" t="str">
        <f>IFERROR(__xludf.DUMMYFUNCTION("""COMPUTED_VALUE"""),"LIMA")</f>
        <v>LIMA</v>
      </c>
      <c r="D99" s="8" t="str">
        <f>IFERROR(__xludf.DUMMYFUNCTION("""COMPUTED_VALUE"""),"OH")</f>
        <v>OH</v>
      </c>
      <c r="E99" s="8" t="str">
        <f>IFERROR(__xludf.DUMMYFUNCTION("""COMPUTED_VALUE"""),"USA")</f>
        <v>USA</v>
      </c>
      <c r="F99" s="8" t="str">
        <f>IFERROR(__xludf.DUMMYFUNCTION("""COMPUTED_VALUE"""),"WOMEN B COMBO LUCK")</f>
        <v>WOMEN B COMBO LUCK</v>
      </c>
      <c r="G99" s="8" t="str">
        <f>IFERROR(__xludf.DUMMYFUNCTION("""COMPUTED_VALUE"""),"3RD")</f>
        <v>3RD</v>
      </c>
      <c r="H99" s="8" t="str">
        <f>IFERROR(__xludf.DUMMYFUNCTION("""COMPUTED_VALUE"""),"BS 38 FINALS")</f>
        <v>BS 38 FINALS</v>
      </c>
      <c r="I99" s="9">
        <f>IFERROR(__xludf.DUMMYFUNCTION("""COMPUTED_VALUE"""),45444.0)</f>
        <v>45444</v>
      </c>
      <c r="J99" s="9">
        <f>IFERROR(__xludf.DUMMYFUNCTION("""COMPUTED_VALUE"""),46539.0)</f>
        <v>46539</v>
      </c>
      <c r="K99" s="10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7" t="str">
        <f>IFERROR(__xludf.DUMMYFUNCTION("""COMPUTED_VALUE"""),"JOST")</f>
        <v>JOST</v>
      </c>
      <c r="B100" s="8" t="str">
        <f>IFERROR(__xludf.DUMMYFUNCTION("""COMPUTED_VALUE"""),"MICHELLE")</f>
        <v>MICHELLE</v>
      </c>
      <c r="C100" s="8" t="str">
        <f>IFERROR(__xludf.DUMMYFUNCTION("""COMPUTED_VALUE"""),"EVANSVILLE")</f>
        <v>EVANSVILLE</v>
      </c>
      <c r="D100" s="8" t="str">
        <f>IFERROR(__xludf.DUMMYFUNCTION("""COMPUTED_VALUE"""),"IN")</f>
        <v>IN</v>
      </c>
      <c r="E100" s="8" t="str">
        <f>IFERROR(__xludf.DUMMYFUNCTION("""COMPUTED_VALUE"""),"USA")</f>
        <v>USA</v>
      </c>
      <c r="F100" s="8" t="str">
        <f>IFERROR(__xludf.DUMMYFUNCTION("""COMPUTED_VALUE"""),"WOMEN SINGLES")</f>
        <v>WOMEN SINGLES</v>
      </c>
      <c r="G100" s="8" t="str">
        <f>IFERROR(__xludf.DUMMYFUNCTION("""COMPUTED_VALUE"""),"2")</f>
        <v>2</v>
      </c>
      <c r="H100" s="8" t="str">
        <f>IFERROR(__xludf.DUMMYFUNCTION("""COMPUTED_VALUE"""),"BS 37 IN")</f>
        <v>BS 37 IN</v>
      </c>
      <c r="I100" s="9">
        <f>IFERROR(__xludf.DUMMYFUNCTION("""COMPUTED_VALUE"""),45078.0)</f>
        <v>45078</v>
      </c>
      <c r="J100" s="9">
        <f>IFERROR(__xludf.DUMMYFUNCTION("""COMPUTED_VALUE"""),46174.0)</f>
        <v>46174</v>
      </c>
      <c r="K100" s="10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7" t="str">
        <f>IFERROR(__xludf.DUMMYFUNCTION("""COMPUTED_VALUE"""),"JOST")</f>
        <v>JOST</v>
      </c>
      <c r="B101" s="8" t="str">
        <f>IFERROR(__xludf.DUMMYFUNCTION("""COMPUTED_VALUE"""),"HAYLEY")</f>
        <v>HAYLEY</v>
      </c>
      <c r="C101" s="8" t="str">
        <f>IFERROR(__xludf.DUMMYFUNCTION("""COMPUTED_VALUE"""),"EVANSVILLE")</f>
        <v>EVANSVILLE</v>
      </c>
      <c r="D101" s="8" t="str">
        <f>IFERROR(__xludf.DUMMYFUNCTION("""COMPUTED_VALUE"""),"IN")</f>
        <v>IN</v>
      </c>
      <c r="E101" s="8" t="str">
        <f>IFERROR(__xludf.DUMMYFUNCTION("""COMPUTED_VALUE"""),"USA")</f>
        <v>USA</v>
      </c>
      <c r="F101" s="8" t="str">
        <f>IFERROR(__xludf.DUMMYFUNCTION("""COMPUTED_VALUE"""),"WOMEN DBLS COMBO")</f>
        <v>WOMEN DBLS COMBO</v>
      </c>
      <c r="G101" s="8" t="str">
        <f>IFERROR(__xludf.DUMMYFUNCTION("""COMPUTED_VALUE"""),"3")</f>
        <v>3</v>
      </c>
      <c r="H101" s="8" t="str">
        <f>IFERROR(__xludf.DUMMYFUNCTION("""COMPUTED_VALUE"""),"BS 37 IN")</f>
        <v>BS 37 IN</v>
      </c>
      <c r="I101" s="9">
        <f>IFERROR(__xludf.DUMMYFUNCTION("""COMPUTED_VALUE"""),45078.0)</f>
        <v>45078</v>
      </c>
      <c r="J101" s="9">
        <f>IFERROR(__xludf.DUMMYFUNCTION("""COMPUTED_VALUE"""),46174.0)</f>
        <v>46174</v>
      </c>
      <c r="K101" s="10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7" t="str">
        <f>IFERROR(__xludf.DUMMYFUNCTION("""COMPUTED_VALUE"""),"Karpowich")</f>
        <v>Karpowich</v>
      </c>
      <c r="B102" s="8" t="str">
        <f>IFERROR(__xludf.DUMMYFUNCTION("""COMPUTED_VALUE"""),"Kathy")</f>
        <v>Kathy</v>
      </c>
      <c r="C102" s="8" t="str">
        <f>IFERROR(__xludf.DUMMYFUNCTION("""COMPUTED_VALUE"""),"Freeland")</f>
        <v>Freeland</v>
      </c>
      <c r="D102" s="8" t="str">
        <f>IFERROR(__xludf.DUMMYFUNCTION("""COMPUTED_VALUE"""),"PA")</f>
        <v>PA</v>
      </c>
      <c r="E102" s="8" t="str">
        <f>IFERROR(__xludf.DUMMYFUNCTION("""COMPUTED_VALUE"""),"USA")</f>
        <v>USA</v>
      </c>
      <c r="F102" s="8" t="str">
        <f>IFERROR(__xludf.DUMMYFUNCTION("""COMPUTED_VALUE"""),"ADO 2013")</f>
        <v>ADO 2013</v>
      </c>
      <c r="G102" s="8" t="str">
        <f>IFERROR(__xludf.DUMMYFUNCTION("""COMPUTED_VALUE"""),"50th")</f>
        <v>50th</v>
      </c>
      <c r="H102" s="8" t="str">
        <f>IFERROR(__xludf.DUMMYFUNCTION("""COMPUTED_VALUE"""),"Known Ability")</f>
        <v>Known Ability</v>
      </c>
      <c r="I102" s="9">
        <f>IFERROR(__xludf.DUMMYFUNCTION("""COMPUTED_VALUE"""),41339.0)</f>
        <v>41339</v>
      </c>
      <c r="J102" s="9">
        <f>IFERROR(__xludf.DUMMYFUNCTION("""COMPUTED_VALUE"""),45809.0)</f>
        <v>45809</v>
      </c>
      <c r="K102" s="10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7" t="str">
        <f>IFERROR(__xludf.DUMMYFUNCTION("""COMPUTED_VALUE"""),"Kasperzick")</f>
        <v>Kasperzick</v>
      </c>
      <c r="B103" s="8" t="str">
        <f>IFERROR(__xludf.DUMMYFUNCTION("""COMPUTED_VALUE"""),"Tammy")</f>
        <v>Tammy</v>
      </c>
      <c r="C103" s="8" t="str">
        <f>IFERROR(__xludf.DUMMYFUNCTION("""COMPUTED_VALUE"""),"Murfreesboro")</f>
        <v>Murfreesboro</v>
      </c>
      <c r="D103" s="8" t="str">
        <f>IFERROR(__xludf.DUMMYFUNCTION("""COMPUTED_VALUE"""),"TN")</f>
        <v>TN</v>
      </c>
      <c r="E103" s="8" t="str">
        <f>IFERROR(__xludf.DUMMYFUNCTION("""COMPUTED_VALUE"""),"USA")</f>
        <v>USA</v>
      </c>
      <c r="F103" s="8"/>
      <c r="G103" s="8"/>
      <c r="H103" s="8" t="str">
        <f>IFERROR(__xludf.DUMMYFUNCTION("""COMPUTED_VALUE"""),"ADO Top 25 2020")</f>
        <v>ADO Top 25 2020</v>
      </c>
      <c r="I103" s="9">
        <f>IFERROR(__xludf.DUMMYFUNCTION("""COMPUTED_VALUE"""),44348.0)</f>
        <v>44348</v>
      </c>
      <c r="J103" s="9">
        <f>IFERROR(__xludf.DUMMYFUNCTION("""COMPUTED_VALUE"""),46539.0)</f>
        <v>46539</v>
      </c>
      <c r="K103" s="10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7" t="str">
        <f>IFERROR(__xludf.DUMMYFUNCTION("""COMPUTED_VALUE"""),"KELLOGG")</f>
        <v>KELLOGG</v>
      </c>
      <c r="B104" s="8" t="str">
        <f>IFERROR(__xludf.DUMMYFUNCTION("""COMPUTED_VALUE"""),"MIRANDA")</f>
        <v>MIRANDA</v>
      </c>
      <c r="C104" s="8" t="str">
        <f>IFERROR(__xludf.DUMMYFUNCTION("""COMPUTED_VALUE"""),"LA PORTE")</f>
        <v>LA PORTE</v>
      </c>
      <c r="D104" s="8" t="str">
        <f>IFERROR(__xludf.DUMMYFUNCTION("""COMPUTED_VALUE"""),"IN")</f>
        <v>IN</v>
      </c>
      <c r="E104" s="8" t="str">
        <f>IFERROR(__xludf.DUMMYFUNCTION("""COMPUTED_VALUE"""),"USA")</f>
        <v>USA</v>
      </c>
      <c r="F104" s="8" t="str">
        <f>IFERROR(__xludf.DUMMYFUNCTION("""COMPUTED_VALUE"""),"WOMENS 301 DBLS")</f>
        <v>WOMENS 301 DBLS</v>
      </c>
      <c r="G104" s="8" t="str">
        <f>IFERROR(__xludf.DUMMYFUNCTION("""COMPUTED_VALUE"""),"2")</f>
        <v>2</v>
      </c>
      <c r="H104" s="8" t="str">
        <f>IFERROR(__xludf.DUMMYFUNCTION("""COMPUTED_VALUE"""),"BS 37 IN")</f>
        <v>BS 37 IN</v>
      </c>
      <c r="I104" s="9">
        <f>IFERROR(__xludf.DUMMYFUNCTION("""COMPUTED_VALUE"""),45078.0)</f>
        <v>45078</v>
      </c>
      <c r="J104" s="9">
        <f>IFERROR(__xludf.DUMMYFUNCTION("""COMPUTED_VALUE"""),46174.0)</f>
        <v>46174</v>
      </c>
      <c r="K104" s="10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7" t="str">
        <f>IFERROR(__xludf.DUMMYFUNCTION("""COMPUTED_VALUE"""),"KING")</f>
        <v>KING</v>
      </c>
      <c r="B105" s="8" t="str">
        <f>IFERROR(__xludf.DUMMYFUNCTION("""COMPUTED_VALUE"""),"KAREN")</f>
        <v>KAREN</v>
      </c>
      <c r="C105" s="8" t="str">
        <f>IFERROR(__xludf.DUMMYFUNCTION("""COMPUTED_VALUE"""),"HIGHLAND")</f>
        <v>HIGHLAND</v>
      </c>
      <c r="D105" s="8" t="str">
        <f>IFERROR(__xludf.DUMMYFUNCTION("""COMPUTED_VALUE"""),"IL")</f>
        <v>IL</v>
      </c>
      <c r="E105" s="8" t="str">
        <f>IFERROR(__xludf.DUMMYFUNCTION("""COMPUTED_VALUE"""),"USA")</f>
        <v>USA</v>
      </c>
      <c r="F105" s="8" t="str">
        <f>IFERROR(__xludf.DUMMYFUNCTION("""COMPUTED_VALUE"""),"WOMEN B COMBO LUCK")</f>
        <v>WOMEN B COMBO LUCK</v>
      </c>
      <c r="G105" s="8" t="str">
        <f>IFERROR(__xludf.DUMMYFUNCTION("""COMPUTED_VALUE"""),"1")</f>
        <v>1</v>
      </c>
      <c r="H105" s="8" t="str">
        <f>IFERROR(__xludf.DUMMYFUNCTION("""COMPUTED_VALUE"""),"BS 37 FINALS")</f>
        <v>BS 37 FINALS</v>
      </c>
      <c r="I105" s="9">
        <f>IFERROR(__xludf.DUMMYFUNCTION("""COMPUTED_VALUE"""),45078.0)</f>
        <v>45078</v>
      </c>
      <c r="J105" s="9">
        <f>IFERROR(__xludf.DUMMYFUNCTION("""COMPUTED_VALUE"""),46174.0)</f>
        <v>46174</v>
      </c>
      <c r="K105" s="10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7" t="str">
        <f>IFERROR(__xludf.DUMMYFUNCTION("""COMPUTED_VALUE"""),"KING")</f>
        <v>KING</v>
      </c>
      <c r="B106" s="8" t="str">
        <f>IFERROR(__xludf.DUMMYFUNCTION("""COMPUTED_VALUE"""),"CELESTE")</f>
        <v>CELESTE</v>
      </c>
      <c r="C106" s="8" t="str">
        <f>IFERROR(__xludf.DUMMYFUNCTION("""COMPUTED_VALUE"""),"HENDERSON")</f>
        <v>HENDERSON</v>
      </c>
      <c r="D106" s="8" t="str">
        <f>IFERROR(__xludf.DUMMYFUNCTION("""COMPUTED_VALUE"""),"KY")</f>
        <v>KY</v>
      </c>
      <c r="E106" s="8" t="str">
        <f>IFERROR(__xludf.DUMMYFUNCTION("""COMPUTED_VALUE"""),"USA")</f>
        <v>USA</v>
      </c>
      <c r="F106" s="8" t="str">
        <f>IFERROR(__xludf.DUMMYFUNCTION("""COMPUTED_VALUE"""),"WOMEN B COMBO LUCK")</f>
        <v>WOMEN B COMBO LUCK</v>
      </c>
      <c r="G106" s="8" t="str">
        <f>IFERROR(__xludf.DUMMYFUNCTION("""COMPUTED_VALUE"""),"4")</f>
        <v>4</v>
      </c>
      <c r="H106" s="8" t="str">
        <f>IFERROR(__xludf.DUMMYFUNCTION("""COMPUTED_VALUE"""),"BS 37 FINALS")</f>
        <v>BS 37 FINALS</v>
      </c>
      <c r="I106" s="9">
        <f>IFERROR(__xludf.DUMMYFUNCTION("""COMPUTED_VALUE"""),45078.0)</f>
        <v>45078</v>
      </c>
      <c r="J106" s="9">
        <f>IFERROR(__xludf.DUMMYFUNCTION("""COMPUTED_VALUE"""),46174.0)</f>
        <v>46174</v>
      </c>
      <c r="K106" s="10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7" t="str">
        <f>IFERROR(__xludf.DUMMYFUNCTION("""COMPUTED_VALUE"""),"Kotara")</f>
        <v>Kotara</v>
      </c>
      <c r="B107" s="8" t="str">
        <f>IFERROR(__xludf.DUMMYFUNCTION("""COMPUTED_VALUE"""),"Gemma")</f>
        <v>Gemma</v>
      </c>
      <c r="C107" s="8" t="str">
        <f>IFERROR(__xludf.DUMMYFUNCTION("""COMPUTED_VALUE"""),"Chantilly")</f>
        <v>Chantilly</v>
      </c>
      <c r="D107" s="8" t="str">
        <f>IFERROR(__xludf.DUMMYFUNCTION("""COMPUTED_VALUE"""),"VA")</f>
        <v>VA</v>
      </c>
      <c r="E107" s="8" t="str">
        <f>IFERROR(__xludf.DUMMYFUNCTION("""COMPUTED_VALUE"""),"USA")</f>
        <v>USA</v>
      </c>
      <c r="F107" s="8"/>
      <c r="G107" s="8"/>
      <c r="H107" s="8" t="str">
        <f>IFERROR(__xludf.DUMMYFUNCTION("""COMPUTED_VALUE"""),"ADO Top 25 2020")</f>
        <v>ADO Top 25 2020</v>
      </c>
      <c r="I107" s="9">
        <f>IFERROR(__xludf.DUMMYFUNCTION("""COMPUTED_VALUE"""),44348.0)</f>
        <v>44348</v>
      </c>
      <c r="J107" s="9">
        <f>IFERROR(__xludf.DUMMYFUNCTION("""COMPUTED_VALUE"""),46539.0)</f>
        <v>46539</v>
      </c>
      <c r="K107" s="10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7" t="str">
        <f>IFERROR(__xludf.DUMMYFUNCTION("""COMPUTED_VALUE"""),"KUCHINSKI")</f>
        <v>KUCHINSKI</v>
      </c>
      <c r="B108" s="8" t="str">
        <f>IFERROR(__xludf.DUMMYFUNCTION("""COMPUTED_VALUE"""),"KAYLEE")</f>
        <v>KAYLEE</v>
      </c>
      <c r="C108" s="8" t="str">
        <f>IFERROR(__xludf.DUMMYFUNCTION("""COMPUTED_VALUE"""),"FOLLANSBEE")</f>
        <v>FOLLANSBEE</v>
      </c>
      <c r="D108" s="8" t="str">
        <f>IFERROR(__xludf.DUMMYFUNCTION("""COMPUTED_VALUE"""),"WV")</f>
        <v>WV</v>
      </c>
      <c r="E108" s="8" t="str">
        <f>IFERROR(__xludf.DUMMYFUNCTION("""COMPUTED_VALUE"""),"USA")</f>
        <v>USA</v>
      </c>
      <c r="F108" s="8" t="str">
        <f>IFERROR(__xludf.DUMMYFUNCTION("""COMPUTED_VALUE"""),"WOMENS DBLS COMBO")</f>
        <v>WOMENS DBLS COMBO</v>
      </c>
      <c r="G108" s="8" t="str">
        <f>IFERROR(__xludf.DUMMYFUNCTION("""COMPUTED_VALUE"""),"3RD")</f>
        <v>3RD</v>
      </c>
      <c r="H108" s="8" t="str">
        <f>IFERROR(__xludf.DUMMYFUNCTION("""COMPUTED_VALUE"""),"PA REGIONAL BS 38")</f>
        <v>PA REGIONAL BS 38</v>
      </c>
      <c r="I108" s="9">
        <f>IFERROR(__xludf.DUMMYFUNCTION("""COMPUTED_VALUE"""),45444.0)</f>
        <v>45444</v>
      </c>
      <c r="J108" s="9">
        <f>IFERROR(__xludf.DUMMYFUNCTION("""COMPUTED_VALUE"""),46539.0)</f>
        <v>46539</v>
      </c>
      <c r="K108" s="10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7" t="str">
        <f>IFERROR(__xludf.DUMMYFUNCTION("""COMPUTED_VALUE"""),"LANGEL")</f>
        <v>LANGEL</v>
      </c>
      <c r="B109" s="8" t="str">
        <f>IFERROR(__xludf.DUMMYFUNCTION("""COMPUTED_VALUE"""),"AMANDA")</f>
        <v>AMANDA</v>
      </c>
      <c r="C109" s="8" t="str">
        <f>IFERROR(__xludf.DUMMYFUNCTION("""COMPUTED_VALUE"""),"RACINE")</f>
        <v>RACINE</v>
      </c>
      <c r="D109" s="8" t="str">
        <f>IFERROR(__xludf.DUMMYFUNCTION("""COMPUTED_VALUE"""),"WI")</f>
        <v>WI</v>
      </c>
      <c r="E109" s="8" t="str">
        <f>IFERROR(__xludf.DUMMYFUNCTION("""COMPUTED_VALUE"""),"USA")</f>
        <v>USA</v>
      </c>
      <c r="F109" s="8" t="str">
        <f>IFERROR(__xludf.DUMMYFUNCTION("""COMPUTED_VALUE"""),"MIXED TRIPLES 701")</f>
        <v>MIXED TRIPLES 701</v>
      </c>
      <c r="G109" s="8" t="str">
        <f>IFERROR(__xludf.DUMMYFUNCTION("""COMPUTED_VALUE"""),"4TH")</f>
        <v>4TH</v>
      </c>
      <c r="H109" s="8" t="str">
        <f>IFERROR(__xludf.DUMMYFUNCTION("""COMPUTED_VALUE"""),"BULLSHOOTER 36 FINALS")</f>
        <v>BULLSHOOTER 36 FINALS</v>
      </c>
      <c r="I109" s="9">
        <f>IFERROR(__xludf.DUMMYFUNCTION("""COMPUTED_VALUE"""),44713.0)</f>
        <v>44713</v>
      </c>
      <c r="J109" s="9">
        <f>IFERROR(__xludf.DUMMYFUNCTION("""COMPUTED_VALUE"""),45809.0)</f>
        <v>45809</v>
      </c>
      <c r="K109" s="10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7" t="str">
        <f>IFERROR(__xludf.DUMMYFUNCTION("""COMPUTED_VALUE"""),"LARBIG")</f>
        <v>LARBIG</v>
      </c>
      <c r="B110" s="8" t="str">
        <f>IFERROR(__xludf.DUMMYFUNCTION("""COMPUTED_VALUE"""),"LINDA")</f>
        <v>LINDA</v>
      </c>
      <c r="C110" s="8" t="str">
        <f>IFERROR(__xludf.DUMMYFUNCTION("""COMPUTED_VALUE"""),"PITTSBURGH")</f>
        <v>PITTSBURGH</v>
      </c>
      <c r="D110" s="8" t="str">
        <f>IFERROR(__xludf.DUMMYFUNCTION("""COMPUTED_VALUE"""),"PA")</f>
        <v>PA</v>
      </c>
      <c r="E110" s="8" t="str">
        <f>IFERROR(__xludf.DUMMYFUNCTION("""COMPUTED_VALUE"""),"USA")</f>
        <v>USA</v>
      </c>
      <c r="F110" s="8" t="str">
        <f>IFERROR(__xludf.DUMMYFUNCTION("""COMPUTED_VALUE"""),"WOMEN SNG COMBO")</f>
        <v>WOMEN SNG COMBO</v>
      </c>
      <c r="G110" s="8" t="str">
        <f>IFERROR(__xludf.DUMMYFUNCTION("""COMPUTED_VALUE"""),"3RD")</f>
        <v>3RD</v>
      </c>
      <c r="H110" s="8" t="str">
        <f>IFERROR(__xludf.DUMMYFUNCTION("""COMPUTED_VALUE"""),"PA REGIONAL BS 38")</f>
        <v>PA REGIONAL BS 38</v>
      </c>
      <c r="I110" s="9">
        <f>IFERROR(__xludf.DUMMYFUNCTION("""COMPUTED_VALUE"""),45444.0)</f>
        <v>45444</v>
      </c>
      <c r="J110" s="9">
        <f>IFERROR(__xludf.DUMMYFUNCTION("""COMPUTED_VALUE"""),46539.0)</f>
        <v>46539</v>
      </c>
      <c r="K110" s="10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7" t="str">
        <f>IFERROR(__xludf.DUMMYFUNCTION("""COMPUTED_VALUE"""),"LEAL")</f>
        <v>LEAL</v>
      </c>
      <c r="B111" s="8" t="str">
        <f>IFERROR(__xludf.DUMMYFUNCTION("""COMPUTED_VALUE"""),"DONNA")</f>
        <v>DONNA</v>
      </c>
      <c r="C111" s="8" t="str">
        <f>IFERROR(__xludf.DUMMYFUNCTION("""COMPUTED_VALUE"""),"GARY")</f>
        <v>GARY</v>
      </c>
      <c r="D111" s="8" t="str">
        <f>IFERROR(__xludf.DUMMYFUNCTION("""COMPUTED_VALUE"""),"IN")</f>
        <v>IN</v>
      </c>
      <c r="E111" s="8" t="str">
        <f>IFERROR(__xludf.DUMMYFUNCTION("""COMPUTED_VALUE"""),"USA")</f>
        <v>USA</v>
      </c>
      <c r="F111" s="8" t="str">
        <f>IFERROR(__xludf.DUMMYFUNCTION("""COMPUTED_VALUE"""),"WOMEN B CRICKET DBLS")</f>
        <v>WOMEN B CRICKET DBLS</v>
      </c>
      <c r="G111" s="8" t="str">
        <f>IFERROR(__xludf.DUMMYFUNCTION("""COMPUTED_VALUE"""),"4")</f>
        <v>4</v>
      </c>
      <c r="H111" s="8" t="str">
        <f>IFERROR(__xludf.DUMMYFUNCTION("""COMPUTED_VALUE"""),"BS 37 FINALS")</f>
        <v>BS 37 FINALS</v>
      </c>
      <c r="I111" s="9">
        <f>IFERROR(__xludf.DUMMYFUNCTION("""COMPUTED_VALUE"""),45078.0)</f>
        <v>45078</v>
      </c>
      <c r="J111" s="9">
        <f>IFERROR(__xludf.DUMMYFUNCTION("""COMPUTED_VALUE"""),46174.0)</f>
        <v>46174</v>
      </c>
      <c r="K111" s="10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7" t="str">
        <f>IFERROR(__xludf.DUMMYFUNCTION("""COMPUTED_VALUE"""),"LeDell")</f>
        <v>LeDell</v>
      </c>
      <c r="B112" s="8" t="str">
        <f>IFERROR(__xludf.DUMMYFUNCTION("""COMPUTED_VALUE"""),"Nicole")</f>
        <v>Nicole</v>
      </c>
      <c r="C112" s="8" t="str">
        <f>IFERROR(__xludf.DUMMYFUNCTION("""COMPUTED_VALUE"""),"Duluth")</f>
        <v>Duluth</v>
      </c>
      <c r="D112" s="8" t="str">
        <f>IFERROR(__xludf.DUMMYFUNCTION("""COMPUTED_VALUE"""),"MN")</f>
        <v>MN</v>
      </c>
      <c r="E112" s="8" t="str">
        <f>IFERROR(__xludf.DUMMYFUNCTION("""COMPUTED_VALUE"""),"USA")</f>
        <v>USA</v>
      </c>
      <c r="F112" s="8" t="str">
        <f>IFERROR(__xludf.DUMMYFUNCTION("""COMPUTED_VALUE"""),"Pro A/AA Mixed Cricket")</f>
        <v>Pro A/AA Mixed Cricket</v>
      </c>
      <c r="G112" s="8" t="str">
        <f>IFERROR(__xludf.DUMMYFUNCTION("""COMPUTED_VALUE"""),"4th")</f>
        <v>4th</v>
      </c>
      <c r="H112" s="8" t="str">
        <f>IFERROR(__xludf.DUMMYFUNCTION("""COMPUTED_VALUE"""),"BullShooter 34 Finals")</f>
        <v>BullShooter 34 Finals</v>
      </c>
      <c r="I112" s="9">
        <f>IFERROR(__xludf.DUMMYFUNCTION("""COMPUTED_VALUE"""),43617.0)</f>
        <v>43617</v>
      </c>
      <c r="J112" s="9">
        <f>IFERROR(__xludf.DUMMYFUNCTION("""COMPUTED_VALUE"""),45809.0)</f>
        <v>45809</v>
      </c>
      <c r="K112" s="10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7" t="str">
        <f>IFERROR(__xludf.DUMMYFUNCTION("""COMPUTED_VALUE"""),"LEITER")</f>
        <v>LEITER</v>
      </c>
      <c r="B113" s="8" t="str">
        <f>IFERROR(__xludf.DUMMYFUNCTION("""COMPUTED_VALUE"""),"CRYSTAL")</f>
        <v>CRYSTAL</v>
      </c>
      <c r="C113" s="8" t="str">
        <f>IFERROR(__xludf.DUMMYFUNCTION("""COMPUTED_VALUE"""),"MANSFIELD")</f>
        <v>MANSFIELD</v>
      </c>
      <c r="D113" s="8" t="str">
        <f>IFERROR(__xludf.DUMMYFUNCTION("""COMPUTED_VALUE"""),"OH")</f>
        <v>OH</v>
      </c>
      <c r="E113" s="8" t="str">
        <f>IFERROR(__xludf.DUMMYFUNCTION("""COMPUTED_VALUE"""),"USA")</f>
        <v>USA</v>
      </c>
      <c r="F113" s="8" t="str">
        <f>IFERROR(__xludf.DUMMYFUNCTION("""COMPUTED_VALUE"""),"WOMENS DBLS COMBO")</f>
        <v>WOMENS DBLS COMBO</v>
      </c>
      <c r="G113" s="8" t="str">
        <f>IFERROR(__xludf.DUMMYFUNCTION("""COMPUTED_VALUE"""),"3RD")</f>
        <v>3RD</v>
      </c>
      <c r="H113" s="8" t="str">
        <f>IFERROR(__xludf.DUMMYFUNCTION("""COMPUTED_VALUE"""),"PA REGIONAL BS 38")</f>
        <v>PA REGIONAL BS 38</v>
      </c>
      <c r="I113" s="9">
        <f>IFERROR(__xludf.DUMMYFUNCTION("""COMPUTED_VALUE"""),45444.0)</f>
        <v>45444</v>
      </c>
      <c r="J113" s="9">
        <f>IFERROR(__xludf.DUMMYFUNCTION("""COMPUTED_VALUE"""),46539.0)</f>
        <v>46539</v>
      </c>
      <c r="K113" s="10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7" t="str">
        <f>IFERROR(__xludf.DUMMYFUNCTION("""COMPUTED_VALUE"""),"LEWIS")</f>
        <v>LEWIS</v>
      </c>
      <c r="B114" s="8" t="str">
        <f>IFERROR(__xludf.DUMMYFUNCTION("""COMPUTED_VALUE"""),"STEPHANIE")</f>
        <v>STEPHANIE</v>
      </c>
      <c r="C114" s="8" t="str">
        <f>IFERROR(__xludf.DUMMYFUNCTION("""COMPUTED_VALUE"""),"SPRINGFIELD")</f>
        <v>SPRINGFIELD</v>
      </c>
      <c r="D114" s="8" t="str">
        <f>IFERROR(__xludf.DUMMYFUNCTION("""COMPUTED_VALUE"""),"OH")</f>
        <v>OH</v>
      </c>
      <c r="E114" s="8" t="str">
        <f>IFERROR(__xludf.DUMMYFUNCTION("""COMPUTED_VALUE"""),"USA")</f>
        <v>USA</v>
      </c>
      <c r="F114" s="8" t="str">
        <f>IFERROR(__xludf.DUMMYFUNCTION("""COMPUTED_VALUE"""),"WOMEN DBLS 301")</f>
        <v>WOMEN DBLS 301</v>
      </c>
      <c r="G114" s="8" t="str">
        <f>IFERROR(__xludf.DUMMYFUNCTION("""COMPUTED_VALUE"""),"3RD")</f>
        <v>3RD</v>
      </c>
      <c r="H114" s="8" t="str">
        <f>IFERROR(__xludf.DUMMYFUNCTION("""COMPUTED_VALUE"""),"OH REGIONAL BS 38")</f>
        <v>OH REGIONAL BS 38</v>
      </c>
      <c r="I114" s="9">
        <f>IFERROR(__xludf.DUMMYFUNCTION("""COMPUTED_VALUE"""),45444.0)</f>
        <v>45444</v>
      </c>
      <c r="J114" s="9">
        <f>IFERROR(__xludf.DUMMYFUNCTION("""COMPUTED_VALUE"""),46539.0)</f>
        <v>46539</v>
      </c>
      <c r="K114" s="10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7" t="str">
        <f>IFERROR(__xludf.DUMMYFUNCTION("""COMPUTED_VALUE"""),"LEWIS")</f>
        <v>LEWIS</v>
      </c>
      <c r="B115" s="8" t="str">
        <f>IFERROR(__xludf.DUMMYFUNCTION("""COMPUTED_VALUE"""),"MACIE")</f>
        <v>MACIE</v>
      </c>
      <c r="C115" s="8" t="str">
        <f>IFERROR(__xludf.DUMMYFUNCTION("""COMPUTED_VALUE"""),"ZEPHYRHILLS")</f>
        <v>ZEPHYRHILLS</v>
      </c>
      <c r="D115" s="8" t="str">
        <f>IFERROR(__xludf.DUMMYFUNCTION("""COMPUTED_VALUE"""),"FL")</f>
        <v>FL</v>
      </c>
      <c r="E115" s="8" t="str">
        <f>IFERROR(__xludf.DUMMYFUNCTION("""COMPUTED_VALUE"""),"USA")</f>
        <v>USA</v>
      </c>
      <c r="F115" s="8" t="str">
        <f>IFERROR(__xludf.DUMMYFUNCTION("""COMPUTED_VALUE"""),"WOMENS DBLS 301")</f>
        <v>WOMENS DBLS 301</v>
      </c>
      <c r="G115" s="8" t="str">
        <f>IFERROR(__xludf.DUMMYFUNCTION("""COMPUTED_VALUE"""),"3RD")</f>
        <v>3RD</v>
      </c>
      <c r="H115" s="8" t="str">
        <f>IFERROR(__xludf.DUMMYFUNCTION("""COMPUTED_VALUE"""),"SC REGIONAL BS 38")</f>
        <v>SC REGIONAL BS 38</v>
      </c>
      <c r="I115" s="9">
        <f>IFERROR(__xludf.DUMMYFUNCTION("""COMPUTED_VALUE"""),45444.0)</f>
        <v>45444</v>
      </c>
      <c r="J115" s="9">
        <f>IFERROR(__xludf.DUMMYFUNCTION("""COMPUTED_VALUE"""),46539.0)</f>
        <v>46539</v>
      </c>
      <c r="K115" s="10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7" t="str">
        <f>IFERROR(__xludf.DUMMYFUNCTION("""COMPUTED_VALUE"""),"LEWIS")</f>
        <v>LEWIS</v>
      </c>
      <c r="B116" s="8" t="str">
        <f>IFERROR(__xludf.DUMMYFUNCTION("""COMPUTED_VALUE"""),"DAWN")</f>
        <v>DAWN</v>
      </c>
      <c r="C116" s="8" t="str">
        <f>IFERROR(__xludf.DUMMYFUNCTION("""COMPUTED_VALUE"""),"ZEPHYR HILLS")</f>
        <v>ZEPHYR HILLS</v>
      </c>
      <c r="D116" s="8" t="str">
        <f>IFERROR(__xludf.DUMMYFUNCTION("""COMPUTED_VALUE"""),"FL")</f>
        <v>FL</v>
      </c>
      <c r="E116" s="8" t="str">
        <f>IFERROR(__xludf.DUMMYFUNCTION("""COMPUTED_VALUE"""),"USA")</f>
        <v>USA</v>
      </c>
      <c r="F116" s="8" t="str">
        <f>IFERROR(__xludf.DUMMYFUNCTION("""COMPUTED_VALUE"""),"WOMEN DBLS 301")</f>
        <v>WOMEN DBLS 301</v>
      </c>
      <c r="G116" s="8" t="str">
        <f>IFERROR(__xludf.DUMMYFUNCTION("""COMPUTED_VALUE"""),"3RD")</f>
        <v>3RD</v>
      </c>
      <c r="H116" s="8" t="str">
        <f>IFERROR(__xludf.DUMMYFUNCTION("""COMPUTED_VALUE"""),"SC REGIONAL BS 38")</f>
        <v>SC REGIONAL BS 38</v>
      </c>
      <c r="I116" s="9">
        <f>IFERROR(__xludf.DUMMYFUNCTION("""COMPUTED_VALUE"""),45444.0)</f>
        <v>45444</v>
      </c>
      <c r="J116" s="9">
        <f>IFERROR(__xludf.DUMMYFUNCTION("""COMPUTED_VALUE"""),46539.0)</f>
        <v>46539</v>
      </c>
      <c r="K116" s="10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7" t="str">
        <f>IFERROR(__xludf.DUMMYFUNCTION("""COMPUTED_VALUE"""),"LEWIS")</f>
        <v>LEWIS</v>
      </c>
      <c r="B117" s="8" t="str">
        <f>IFERROR(__xludf.DUMMYFUNCTION("""COMPUTED_VALUE"""),"MATTILY")</f>
        <v>MATTILY</v>
      </c>
      <c r="C117" s="8" t="str">
        <f>IFERROR(__xludf.DUMMYFUNCTION("""COMPUTED_VALUE"""),"BRUMLEY")</f>
        <v>BRUMLEY</v>
      </c>
      <c r="D117" s="8" t="str">
        <f>IFERROR(__xludf.DUMMYFUNCTION("""COMPUTED_VALUE"""),"MO")</f>
        <v>MO</v>
      </c>
      <c r="E117" s="8" t="str">
        <f>IFERROR(__xludf.DUMMYFUNCTION("""COMPUTED_VALUE"""),"USA")</f>
        <v>USA</v>
      </c>
      <c r="F117" s="8" t="str">
        <f>IFERROR(__xludf.DUMMYFUNCTION("""COMPUTED_VALUE"""),"TOP GUN WOMEN B SNG CRICKET")</f>
        <v>TOP GUN WOMEN B SNG CRICKET</v>
      </c>
      <c r="G117" s="8" t="str">
        <f>IFERROR(__xludf.DUMMYFUNCTION("""COMPUTED_VALUE"""),"1ST")</f>
        <v>1ST</v>
      </c>
      <c r="H117" s="8" t="str">
        <f>IFERROR(__xludf.DUMMYFUNCTION("""COMPUTED_VALUE"""),"BS 38 FINALS")</f>
        <v>BS 38 FINALS</v>
      </c>
      <c r="I117" s="9">
        <f>IFERROR(__xludf.DUMMYFUNCTION("""COMPUTED_VALUE"""),45444.0)</f>
        <v>45444</v>
      </c>
      <c r="J117" s="9">
        <f>IFERROR(__xludf.DUMMYFUNCTION("""COMPUTED_VALUE"""),46539.0)</f>
        <v>46539</v>
      </c>
      <c r="K117" s="10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7" t="str">
        <f>IFERROR(__xludf.DUMMYFUNCTION("""COMPUTED_VALUE"""),"LUNA")</f>
        <v>LUNA</v>
      </c>
      <c r="B118" s="8" t="str">
        <f>IFERROR(__xludf.DUMMYFUNCTION("""COMPUTED_VALUE"""),"LAURIE")</f>
        <v>LAURIE</v>
      </c>
      <c r="C118" s="8" t="str">
        <f>IFERROR(__xludf.DUMMYFUNCTION("""COMPUTED_VALUE"""),"LA PORTE")</f>
        <v>LA PORTE</v>
      </c>
      <c r="D118" s="8" t="str">
        <f>IFERROR(__xludf.DUMMYFUNCTION("""COMPUTED_VALUE"""),"TX")</f>
        <v>TX</v>
      </c>
      <c r="E118" s="8" t="str">
        <f>IFERROR(__xludf.DUMMYFUNCTION("""COMPUTED_VALUE"""),"USA")</f>
        <v>USA</v>
      </c>
      <c r="F118" s="8" t="str">
        <f>IFERROR(__xludf.DUMMYFUNCTION("""COMPUTED_VALUE"""),"WOMEN DBLS COMBO")</f>
        <v>WOMEN DBLS COMBO</v>
      </c>
      <c r="G118" s="8" t="str">
        <f>IFERROR(__xludf.DUMMYFUNCTION("""COMPUTED_VALUE"""),"3RD")</f>
        <v>3RD</v>
      </c>
      <c r="H118" s="8" t="str">
        <f>IFERROR(__xludf.DUMMYFUNCTION("""COMPUTED_VALUE"""),"TX REGIONAL BS 38")</f>
        <v>TX REGIONAL BS 38</v>
      </c>
      <c r="I118" s="9">
        <f>IFERROR(__xludf.DUMMYFUNCTION("""COMPUTED_VALUE"""),45444.0)</f>
        <v>45444</v>
      </c>
      <c r="J118" s="9">
        <f>IFERROR(__xludf.DUMMYFUNCTION("""COMPUTED_VALUE"""),46539.0)</f>
        <v>46539</v>
      </c>
      <c r="K118" s="10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7" t="str">
        <f>IFERROR(__xludf.DUMMYFUNCTION("""COMPUTED_VALUE"""),"LUPO")</f>
        <v>LUPO</v>
      </c>
      <c r="B119" s="8" t="str">
        <f>IFERROR(__xludf.DUMMYFUNCTION("""COMPUTED_VALUE"""),"DARREN")</f>
        <v>DARREN</v>
      </c>
      <c r="C119" s="8" t="str">
        <f>IFERROR(__xludf.DUMMYFUNCTION("""COMPUTED_VALUE"""),"SOUTHWEST RANCHES")</f>
        <v>SOUTHWEST RANCHES</v>
      </c>
      <c r="D119" s="8" t="str">
        <f>IFERROR(__xludf.DUMMYFUNCTION("""COMPUTED_VALUE"""),"FL")</f>
        <v>FL</v>
      </c>
      <c r="E119" s="8" t="str">
        <f>IFERROR(__xludf.DUMMYFUNCTION("""COMPUTED_VALUE"""),"USA")</f>
        <v>USA</v>
      </c>
      <c r="F119" s="8" t="str">
        <f>IFERROR(__xludf.DUMMYFUNCTION("""COMPUTED_VALUE"""),"WOMEN SINGLES")</f>
        <v>WOMEN SINGLES</v>
      </c>
      <c r="G119" s="8" t="str">
        <f>IFERROR(__xludf.DUMMYFUNCTION("""COMPUTED_VALUE"""),"3")</f>
        <v>3</v>
      </c>
      <c r="H119" s="8" t="str">
        <f>IFERROR(__xludf.DUMMYFUNCTION("""COMPUTED_VALUE"""),"BS 37 TX")</f>
        <v>BS 37 TX</v>
      </c>
      <c r="I119" s="9">
        <f>IFERROR(__xludf.DUMMYFUNCTION("""COMPUTED_VALUE"""),45078.0)</f>
        <v>45078</v>
      </c>
      <c r="J119" s="9">
        <f>IFERROR(__xludf.DUMMYFUNCTION("""COMPUTED_VALUE"""),46174.0)</f>
        <v>46174</v>
      </c>
      <c r="K119" s="10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7" t="str">
        <f>IFERROR(__xludf.DUMMYFUNCTION("""COMPUTED_VALUE"""),"LYLES")</f>
        <v>LYLES</v>
      </c>
      <c r="B120" s="8" t="str">
        <f>IFERROR(__xludf.DUMMYFUNCTION("""COMPUTED_VALUE"""),"LARA")</f>
        <v>LARA</v>
      </c>
      <c r="C120" s="8" t="str">
        <f>IFERROR(__xludf.DUMMYFUNCTION("""COMPUTED_VALUE"""),"DEKALB")</f>
        <v>DEKALB</v>
      </c>
      <c r="D120" s="8" t="str">
        <f>IFERROR(__xludf.DUMMYFUNCTION("""COMPUTED_VALUE"""),"IL")</f>
        <v>IL</v>
      </c>
      <c r="E120" s="8" t="str">
        <f>IFERROR(__xludf.DUMMYFUNCTION("""COMPUTED_VALUE"""),"USA")</f>
        <v>USA</v>
      </c>
      <c r="F120" s="8" t="str">
        <f>IFERROR(__xludf.DUMMYFUNCTION("""COMPUTED_VALUE"""),"WOMEN B CRICKET DBLS")</f>
        <v>WOMEN B CRICKET DBLS</v>
      </c>
      <c r="G120" s="8" t="str">
        <f>IFERROR(__xludf.DUMMYFUNCTION("""COMPUTED_VALUE"""),"1")</f>
        <v>1</v>
      </c>
      <c r="H120" s="8" t="str">
        <f>IFERROR(__xludf.DUMMYFUNCTION("""COMPUTED_VALUE"""),"BS 37 FINALS")</f>
        <v>BS 37 FINALS</v>
      </c>
      <c r="I120" s="9">
        <f>IFERROR(__xludf.DUMMYFUNCTION("""COMPUTED_VALUE"""),45078.0)</f>
        <v>45078</v>
      </c>
      <c r="J120" s="9">
        <f>IFERROR(__xludf.DUMMYFUNCTION("""COMPUTED_VALUE"""),46174.0)</f>
        <v>46174</v>
      </c>
      <c r="K120" s="10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7" t="str">
        <f>IFERROR(__xludf.DUMMYFUNCTION("""COMPUTED_VALUE"""),"LYZAK")</f>
        <v>LYZAK</v>
      </c>
      <c r="B121" s="8" t="str">
        <f>IFERROR(__xludf.DUMMYFUNCTION("""COMPUTED_VALUE"""),"LAINE")</f>
        <v>LAINE</v>
      </c>
      <c r="C121" s="8" t="str">
        <f>IFERROR(__xludf.DUMMYFUNCTION("""COMPUTED_VALUE"""),"HOUSTON")</f>
        <v>HOUSTON</v>
      </c>
      <c r="D121" s="8" t="str">
        <f>IFERROR(__xludf.DUMMYFUNCTION("""COMPUTED_VALUE"""),"TX")</f>
        <v>TX</v>
      </c>
      <c r="E121" s="8" t="str">
        <f>IFERROR(__xludf.DUMMYFUNCTION("""COMPUTED_VALUE"""),"USA")</f>
        <v>USA</v>
      </c>
      <c r="F121" s="8" t="str">
        <f>IFERROR(__xludf.DUMMYFUNCTION("""COMPUTED_VALUE"""),"WOMEN SNG COMBO")</f>
        <v>WOMEN SNG COMBO</v>
      </c>
      <c r="G121" s="8" t="str">
        <f>IFERROR(__xludf.DUMMYFUNCTION("""COMPUTED_VALUE"""),"1")</f>
        <v>1</v>
      </c>
      <c r="H121" s="8" t="str">
        <f>IFERROR(__xludf.DUMMYFUNCTION("""COMPUTED_VALUE"""),"TX REGIONAL BS 38")</f>
        <v>TX REGIONAL BS 38</v>
      </c>
      <c r="I121" s="9">
        <f>IFERROR(__xludf.DUMMYFUNCTION("""COMPUTED_VALUE"""),45444.0)</f>
        <v>45444</v>
      </c>
      <c r="J121" s="9">
        <f>IFERROR(__xludf.DUMMYFUNCTION("""COMPUTED_VALUE"""),46539.0)</f>
        <v>46539</v>
      </c>
      <c r="K121" s="10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7" t="str">
        <f>IFERROR(__xludf.DUMMYFUNCTION("""COMPUTED_VALUE"""),"LYZAK")</f>
        <v>LYZAK</v>
      </c>
      <c r="B122" s="8" t="str">
        <f>IFERROR(__xludf.DUMMYFUNCTION("""COMPUTED_VALUE"""),"JENNIFER")</f>
        <v>JENNIFER</v>
      </c>
      <c r="C122" s="8" t="str">
        <f>IFERROR(__xludf.DUMMYFUNCTION("""COMPUTED_VALUE"""),"SPRING")</f>
        <v>SPRING</v>
      </c>
      <c r="D122" s="8" t="str">
        <f>IFERROR(__xludf.DUMMYFUNCTION("""COMPUTED_VALUE"""),"TX")</f>
        <v>TX</v>
      </c>
      <c r="E122" s="8" t="str">
        <f>IFERROR(__xludf.DUMMYFUNCTION("""COMPUTED_VALUE"""),"USA")</f>
        <v>USA</v>
      </c>
      <c r="F122" s="8" t="str">
        <f>IFERROR(__xludf.DUMMYFUNCTION("""COMPUTED_VALUE"""),"WOMEN DBLS COMBO")</f>
        <v>WOMEN DBLS COMBO</v>
      </c>
      <c r="G122" s="8" t="str">
        <f>IFERROR(__xludf.DUMMYFUNCTION("""COMPUTED_VALUE"""),"2ND")</f>
        <v>2ND</v>
      </c>
      <c r="H122" s="8" t="str">
        <f>IFERROR(__xludf.DUMMYFUNCTION("""COMPUTED_VALUE"""),"TX REGIONAL BS 38")</f>
        <v>TX REGIONAL BS 38</v>
      </c>
      <c r="I122" s="9">
        <f>IFERROR(__xludf.DUMMYFUNCTION("""COMPUTED_VALUE"""),45444.0)</f>
        <v>45444</v>
      </c>
      <c r="J122" s="9">
        <f>IFERROR(__xludf.DUMMYFUNCTION("""COMPUTED_VALUE"""),46539.0)</f>
        <v>46539</v>
      </c>
      <c r="K122" s="10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7" t="str">
        <f>IFERROR(__xludf.DUMMYFUNCTION("""COMPUTED_VALUE"""),"Maine")</f>
        <v>Maine</v>
      </c>
      <c r="B123" s="8" t="str">
        <f>IFERROR(__xludf.DUMMYFUNCTION("""COMPUTED_VALUE"""),"Shari")</f>
        <v>Shari</v>
      </c>
      <c r="C123" s="8" t="str">
        <f>IFERROR(__xludf.DUMMYFUNCTION("""COMPUTED_VALUE"""),"Dayton")</f>
        <v>Dayton</v>
      </c>
      <c r="D123" s="8" t="str">
        <f>IFERROR(__xludf.DUMMYFUNCTION("""COMPUTED_VALUE"""),"OH")</f>
        <v>OH</v>
      </c>
      <c r="E123" s="8" t="str">
        <f>IFERROR(__xludf.DUMMYFUNCTION("""COMPUTED_VALUE"""),"USA")</f>
        <v>USA</v>
      </c>
      <c r="F123" s="8" t="str">
        <f>IFERROR(__xludf.DUMMYFUNCTION("""COMPUTED_VALUE"""),"WOMENS DBLS COMBO")</f>
        <v>WOMENS DBLS COMBO</v>
      </c>
      <c r="G123" s="8" t="str">
        <f>IFERROR(__xludf.DUMMYFUNCTION("""COMPUTED_VALUE"""),"1ST")</f>
        <v>1ST</v>
      </c>
      <c r="H123" s="8" t="str">
        <f>IFERROR(__xludf.DUMMYFUNCTION("""COMPUTED_VALUE"""),"IN REGIONAL BS 36")</f>
        <v>IN REGIONAL BS 36</v>
      </c>
      <c r="I123" s="9">
        <f>IFERROR(__xludf.DUMMYFUNCTION("""COMPUTED_VALUE"""),42522.0)</f>
        <v>42522</v>
      </c>
      <c r="J123" s="9">
        <f>IFERROR(__xludf.DUMMYFUNCTION("""COMPUTED_VALUE"""),45809.0)</f>
        <v>45809</v>
      </c>
      <c r="K123" s="10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7" t="str">
        <f>IFERROR(__xludf.DUMMYFUNCTION("""COMPUTED_VALUE"""),"MALIE")</f>
        <v>MALIE</v>
      </c>
      <c r="B124" s="8" t="str">
        <f>IFERROR(__xludf.DUMMYFUNCTION("""COMPUTED_VALUE"""),"JAMIE")</f>
        <v>JAMIE</v>
      </c>
      <c r="C124" s="8" t="str">
        <f>IFERROR(__xludf.DUMMYFUNCTION("""COMPUTED_VALUE"""),"AMBRIDGE")</f>
        <v>AMBRIDGE</v>
      </c>
      <c r="D124" s="8" t="str">
        <f>IFERROR(__xludf.DUMMYFUNCTION("""COMPUTED_VALUE"""),"PA")</f>
        <v>PA</v>
      </c>
      <c r="E124" s="8" t="str">
        <f>IFERROR(__xludf.DUMMYFUNCTION("""COMPUTED_VALUE"""),"USA")</f>
        <v>USA</v>
      </c>
      <c r="F124" s="8" t="str">
        <f>IFERROR(__xludf.DUMMYFUNCTION("""COMPUTED_VALUE"""),"WOMEN DBLS COMBO")</f>
        <v>WOMEN DBLS COMBO</v>
      </c>
      <c r="G124" s="8" t="str">
        <f>IFERROR(__xludf.DUMMYFUNCTION("""COMPUTED_VALUE"""),"1ST")</f>
        <v>1ST</v>
      </c>
      <c r="H124" s="8" t="str">
        <f>IFERROR(__xludf.DUMMYFUNCTION("""COMPUTED_VALUE"""),"NY REGIONAL BS 38")</f>
        <v>NY REGIONAL BS 38</v>
      </c>
      <c r="I124" s="9">
        <f>IFERROR(__xludf.DUMMYFUNCTION("""COMPUTED_VALUE"""),45444.0)</f>
        <v>45444</v>
      </c>
      <c r="J124" s="9">
        <f>IFERROR(__xludf.DUMMYFUNCTION("""COMPUTED_VALUE"""),46539.0)</f>
        <v>46539</v>
      </c>
      <c r="K124" s="10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7" t="str">
        <f>IFERROR(__xludf.DUMMYFUNCTION("""COMPUTED_VALUE"""),"MALLARY")</f>
        <v>MALLARY</v>
      </c>
      <c r="B125" s="8" t="str">
        <f>IFERROR(__xludf.DUMMYFUNCTION("""COMPUTED_VALUE"""),"TAMMY")</f>
        <v>TAMMY</v>
      </c>
      <c r="C125" s="8" t="str">
        <f>IFERROR(__xludf.DUMMYFUNCTION("""COMPUTED_VALUE"""),"PORT BYRON")</f>
        <v>PORT BYRON</v>
      </c>
      <c r="D125" s="8" t="str">
        <f>IFERROR(__xludf.DUMMYFUNCTION("""COMPUTED_VALUE"""),"IL")</f>
        <v>IL</v>
      </c>
      <c r="E125" s="8" t="str">
        <f>IFERROR(__xludf.DUMMYFUNCTION("""COMPUTED_VALUE"""),"USA")</f>
        <v>USA</v>
      </c>
      <c r="F125" s="8" t="str">
        <f>IFERROR(__xludf.DUMMYFUNCTION("""COMPUTED_VALUE"""),"TOP GUN TRIPLES")</f>
        <v>TOP GUN TRIPLES</v>
      </c>
      <c r="G125" s="8" t="str">
        <f>IFERROR(__xludf.DUMMYFUNCTION("""COMPUTED_VALUE"""),"3RD")</f>
        <v>3RD</v>
      </c>
      <c r="H125" s="8" t="str">
        <f>IFERROR(__xludf.DUMMYFUNCTION("""COMPUTED_VALUE"""),"BULLSHOOTER 36 FINALS")</f>
        <v>BULLSHOOTER 36 FINALS</v>
      </c>
      <c r="I125" s="9">
        <f>IFERROR(__xludf.DUMMYFUNCTION("""COMPUTED_VALUE"""),44713.0)</f>
        <v>44713</v>
      </c>
      <c r="J125" s="9">
        <f>IFERROR(__xludf.DUMMYFUNCTION("""COMPUTED_VALUE"""),45809.0)</f>
        <v>45809</v>
      </c>
      <c r="K125" s="10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7" t="str">
        <f>IFERROR(__xludf.DUMMYFUNCTION("""COMPUTED_VALUE"""),"Mason")</f>
        <v>Mason</v>
      </c>
      <c r="B126" s="8" t="str">
        <f>IFERROR(__xludf.DUMMYFUNCTION("""COMPUTED_VALUE"""),"Maria")</f>
        <v>Maria</v>
      </c>
      <c r="C126" s="8"/>
      <c r="D126" s="8" t="str">
        <f>IFERROR(__xludf.DUMMYFUNCTION("""COMPUTED_VALUE"""),"UNK")</f>
        <v>UNK</v>
      </c>
      <c r="E126" s="8" t="str">
        <f>IFERROR(__xludf.DUMMYFUNCTION("""COMPUTED_VALUE"""),"CAN")</f>
        <v>CAN</v>
      </c>
      <c r="F126" s="8" t="str">
        <f>IFERROR(__xludf.DUMMYFUNCTION("""COMPUTED_VALUE"""),"MIXED TRIPLES 701")</f>
        <v>MIXED TRIPLES 701</v>
      </c>
      <c r="G126" s="8" t="str">
        <f>IFERROR(__xludf.DUMMYFUNCTION("""COMPUTED_VALUE"""),"1ST")</f>
        <v>1ST</v>
      </c>
      <c r="H126" s="8" t="str">
        <f>IFERROR(__xludf.DUMMYFUNCTION("""COMPUTED_VALUE"""),"NY REGIONAL BS 36")</f>
        <v>NY REGIONAL BS 36</v>
      </c>
      <c r="I126" s="9">
        <f>IFERROR(__xludf.DUMMYFUNCTION("""COMPUTED_VALUE"""),44713.0)</f>
        <v>44713</v>
      </c>
      <c r="J126" s="9">
        <f>IFERROR(__xludf.DUMMYFUNCTION("""COMPUTED_VALUE"""),45809.0)</f>
        <v>45809</v>
      </c>
      <c r="K126" s="10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7" t="str">
        <f>IFERROR(__xludf.DUMMYFUNCTION("""COMPUTED_VALUE"""),"MC HENRY")</f>
        <v>MC HENRY</v>
      </c>
      <c r="B127" s="8" t="str">
        <f>IFERROR(__xludf.DUMMYFUNCTION("""COMPUTED_VALUE"""),"BRITTNIE")</f>
        <v>BRITTNIE</v>
      </c>
      <c r="C127" s="8" t="str">
        <f>IFERROR(__xludf.DUMMYFUNCTION("""COMPUTED_VALUE"""),"ALLENTON")</f>
        <v>ALLENTON</v>
      </c>
      <c r="D127" s="8" t="str">
        <f>IFERROR(__xludf.DUMMYFUNCTION("""COMPUTED_VALUE"""),"WI")</f>
        <v>WI</v>
      </c>
      <c r="E127" s="8" t="str">
        <f>IFERROR(__xludf.DUMMYFUNCTION("""COMPUTED_VALUE"""),"USA")</f>
        <v>USA</v>
      </c>
      <c r="F127" s="8" t="str">
        <f>IFERROR(__xludf.DUMMYFUNCTION("""COMPUTED_VALUE"""),"WOMENS DBLS 301")</f>
        <v>WOMENS DBLS 301</v>
      </c>
      <c r="G127" s="8" t="str">
        <f>IFERROR(__xludf.DUMMYFUNCTION("""COMPUTED_VALUE"""),"1ST")</f>
        <v>1ST</v>
      </c>
      <c r="H127" s="8" t="str">
        <f>IFERROR(__xludf.DUMMYFUNCTION("""COMPUTED_VALUE"""),"IN REGIONAL BS 36")</f>
        <v>IN REGIONAL BS 36</v>
      </c>
      <c r="I127" s="9">
        <f>IFERROR(__xludf.DUMMYFUNCTION("""COMPUTED_VALUE"""),44713.0)</f>
        <v>44713</v>
      </c>
      <c r="J127" s="9">
        <f>IFERROR(__xludf.DUMMYFUNCTION("""COMPUTED_VALUE"""),45809.0)</f>
        <v>45809</v>
      </c>
      <c r="K127" s="10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7" t="str">
        <f>IFERROR(__xludf.DUMMYFUNCTION("""COMPUTED_VALUE"""),"MCCONNELL")</f>
        <v>MCCONNELL</v>
      </c>
      <c r="B128" s="8" t="str">
        <f>IFERROR(__xludf.DUMMYFUNCTION("""COMPUTED_VALUE"""),"AMANDA")</f>
        <v>AMANDA</v>
      </c>
      <c r="C128" s="8" t="str">
        <f>IFERROR(__xludf.DUMMYFUNCTION("""COMPUTED_VALUE"""),"WATERTOWN")</f>
        <v>WATERTOWN</v>
      </c>
      <c r="D128" s="8" t="str">
        <f>IFERROR(__xludf.DUMMYFUNCTION("""COMPUTED_VALUE"""),"NY")</f>
        <v>NY</v>
      </c>
      <c r="E128" s="8" t="str">
        <f>IFERROR(__xludf.DUMMYFUNCTION("""COMPUTED_VALUE"""),"USA")</f>
        <v>USA</v>
      </c>
      <c r="F128" s="8" t="str">
        <f>IFERROR(__xludf.DUMMYFUNCTION("""COMPUTED_VALUE"""),"WOMEN DBLS COMBO")</f>
        <v>WOMEN DBLS COMBO</v>
      </c>
      <c r="G128" s="8" t="str">
        <f>IFERROR(__xludf.DUMMYFUNCTION("""COMPUTED_VALUE"""),"3")</f>
        <v>3</v>
      </c>
      <c r="H128" s="8" t="str">
        <f>IFERROR(__xludf.DUMMYFUNCTION("""COMPUTED_VALUE"""),"BS 37 PA")</f>
        <v>BS 37 PA</v>
      </c>
      <c r="I128" s="9">
        <f>IFERROR(__xludf.DUMMYFUNCTION("""COMPUTED_VALUE"""),45078.0)</f>
        <v>45078</v>
      </c>
      <c r="J128" s="9">
        <f>IFERROR(__xludf.DUMMYFUNCTION("""COMPUTED_VALUE"""),46174.0)</f>
        <v>46174</v>
      </c>
      <c r="K128" s="10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7" t="str">
        <f>IFERROR(__xludf.DUMMYFUNCTION("""COMPUTED_VALUE"""),"MCGHEE")</f>
        <v>MCGHEE</v>
      </c>
      <c r="B129" s="8" t="str">
        <f>IFERROR(__xludf.DUMMYFUNCTION("""COMPUTED_VALUE"""),"CARON")</f>
        <v>CARON</v>
      </c>
      <c r="C129" s="8" t="str">
        <f>IFERROR(__xludf.DUMMYFUNCTION("""COMPUTED_VALUE"""),"PHOENIX")</f>
        <v>PHOENIX</v>
      </c>
      <c r="D129" s="8" t="str">
        <f>IFERROR(__xludf.DUMMYFUNCTION("""COMPUTED_VALUE"""),"AZ")</f>
        <v>AZ</v>
      </c>
      <c r="E129" s="8" t="str">
        <f>IFERROR(__xludf.DUMMYFUNCTION("""COMPUTED_VALUE"""),"USA")</f>
        <v>USA</v>
      </c>
      <c r="F129" s="8" t="str">
        <f>IFERROR(__xludf.DUMMYFUNCTION("""COMPUTED_VALUE"""),"PRO MIXED DBLS CRICKET")</f>
        <v>PRO MIXED DBLS CRICKET</v>
      </c>
      <c r="G129" s="8" t="str">
        <f>IFERROR(__xludf.DUMMYFUNCTION("""COMPUTED_VALUE"""),"3RD")</f>
        <v>3RD</v>
      </c>
      <c r="H129" s="8" t="str">
        <f>IFERROR(__xludf.DUMMYFUNCTION("""COMPUTED_VALUE"""),"AZ REGIONAL BS 36")</f>
        <v>AZ REGIONAL BS 36</v>
      </c>
      <c r="I129" s="9">
        <f>IFERROR(__xludf.DUMMYFUNCTION("""COMPUTED_VALUE"""),44713.0)</f>
        <v>44713</v>
      </c>
      <c r="J129" s="9">
        <f>IFERROR(__xludf.DUMMYFUNCTION("""COMPUTED_VALUE"""),45809.0)</f>
        <v>45809</v>
      </c>
      <c r="K129" s="10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7" t="str">
        <f>IFERROR(__xludf.DUMMYFUNCTION("""COMPUTED_VALUE"""),"MCKINLEY")</f>
        <v>MCKINLEY</v>
      </c>
      <c r="B130" s="8" t="str">
        <f>IFERROR(__xludf.DUMMYFUNCTION("""COMPUTED_VALUE"""),"KAITLYN")</f>
        <v>KAITLYN</v>
      </c>
      <c r="C130" s="8" t="str">
        <f>IFERROR(__xludf.DUMMYFUNCTION("""COMPUTED_VALUE"""),"MARYLAND HEIGHTS")</f>
        <v>MARYLAND HEIGHTS</v>
      </c>
      <c r="D130" s="8" t="str">
        <f>IFERROR(__xludf.DUMMYFUNCTION("""COMPUTED_VALUE"""),"MO")</f>
        <v>MO</v>
      </c>
      <c r="E130" s="8" t="str">
        <f>IFERROR(__xludf.DUMMYFUNCTION("""COMPUTED_VALUE"""),"USA")</f>
        <v>USA</v>
      </c>
      <c r="F130" s="8" t="str">
        <f>IFERROR(__xludf.DUMMYFUNCTION("""COMPUTED_VALUE"""),"WOMEN SNG COMBO")</f>
        <v>WOMEN SNG COMBO</v>
      </c>
      <c r="G130" s="8" t="str">
        <f>IFERROR(__xludf.DUMMYFUNCTION("""COMPUTED_VALUE"""),"2ND")</f>
        <v>2ND</v>
      </c>
      <c r="H130" s="8" t="str">
        <f>IFERROR(__xludf.DUMMYFUNCTION("""COMPUTED_VALUE"""),"NE REGIONAL BS 38")</f>
        <v>NE REGIONAL BS 38</v>
      </c>
      <c r="I130" s="9">
        <f>IFERROR(__xludf.DUMMYFUNCTION("""COMPUTED_VALUE"""),45444.0)</f>
        <v>45444</v>
      </c>
      <c r="J130" s="9">
        <f>IFERROR(__xludf.DUMMYFUNCTION("""COMPUTED_VALUE"""),46539.0)</f>
        <v>46539</v>
      </c>
      <c r="K130" s="10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7" t="str">
        <f>IFERROR(__xludf.DUMMYFUNCTION("""COMPUTED_VALUE"""),"MCKINNEY")</f>
        <v>MCKINNEY</v>
      </c>
      <c r="B131" s="8" t="str">
        <f>IFERROR(__xludf.DUMMYFUNCTION("""COMPUTED_VALUE"""),"LAURA")</f>
        <v>LAURA</v>
      </c>
      <c r="C131" s="8" t="str">
        <f>IFERROR(__xludf.DUMMYFUNCTION("""COMPUTED_VALUE"""),"BOAZ")</f>
        <v>BOAZ</v>
      </c>
      <c r="D131" s="8" t="str">
        <f>IFERROR(__xludf.DUMMYFUNCTION("""COMPUTED_VALUE"""),"AL")</f>
        <v>AL</v>
      </c>
      <c r="E131" s="8" t="str">
        <f>IFERROR(__xludf.DUMMYFUNCTION("""COMPUTED_VALUE"""),"USA")</f>
        <v>USA</v>
      </c>
      <c r="F131" s="8" t="str">
        <f>IFERROR(__xludf.DUMMYFUNCTION("""COMPUTED_VALUE"""),"WOMEN DBLS COMBO")</f>
        <v>WOMEN DBLS COMBO</v>
      </c>
      <c r="G131" s="8" t="str">
        <f>IFERROR(__xludf.DUMMYFUNCTION("""COMPUTED_VALUE"""),"3RD")</f>
        <v>3RD</v>
      </c>
      <c r="H131" s="8" t="str">
        <f>IFERROR(__xludf.DUMMYFUNCTION("""COMPUTED_VALUE"""),"TN REGIONAL BS 38")</f>
        <v>TN REGIONAL BS 38</v>
      </c>
      <c r="I131" s="9">
        <f>IFERROR(__xludf.DUMMYFUNCTION("""COMPUTED_VALUE"""),45444.0)</f>
        <v>45444</v>
      </c>
      <c r="J131" s="9">
        <f>IFERROR(__xludf.DUMMYFUNCTION("""COMPUTED_VALUE"""),46539.0)</f>
        <v>46539</v>
      </c>
      <c r="K131" s="10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7" t="str">
        <f>IFERROR(__xludf.DUMMYFUNCTION("""COMPUTED_VALUE"""),"MIDDLETON")</f>
        <v>MIDDLETON</v>
      </c>
      <c r="B132" s="8" t="str">
        <f>IFERROR(__xludf.DUMMYFUNCTION("""COMPUTED_VALUE"""),"TRISTEN")</f>
        <v>TRISTEN</v>
      </c>
      <c r="C132" s="8" t="str">
        <f>IFERROR(__xludf.DUMMYFUNCTION("""COMPUTED_VALUE"""),"MT PLEASANT")</f>
        <v>MT PLEASANT</v>
      </c>
      <c r="D132" s="8" t="str">
        <f>IFERROR(__xludf.DUMMYFUNCTION("""COMPUTED_VALUE"""),"MI")</f>
        <v>MI</v>
      </c>
      <c r="E132" s="8" t="str">
        <f>IFERROR(__xludf.DUMMYFUNCTION("""COMPUTED_VALUE"""),"USA")</f>
        <v>USA</v>
      </c>
      <c r="F132" s="8" t="str">
        <f>IFERROR(__xludf.DUMMYFUNCTION("""COMPUTED_VALUE"""),"WOMEN B DBLS 301")</f>
        <v>WOMEN B DBLS 301</v>
      </c>
      <c r="G132" s="8" t="str">
        <f>IFERROR(__xludf.DUMMYFUNCTION("""COMPUTED_VALUE"""),"4TH")</f>
        <v>4TH</v>
      </c>
      <c r="H132" s="8" t="str">
        <f>IFERROR(__xludf.DUMMYFUNCTION("""COMPUTED_VALUE"""),"BS 38 FINALS")</f>
        <v>BS 38 FINALS</v>
      </c>
      <c r="I132" s="9">
        <f>IFERROR(__xludf.DUMMYFUNCTION("""COMPUTED_VALUE"""),45444.0)</f>
        <v>45444</v>
      </c>
      <c r="J132" s="9">
        <f>IFERROR(__xludf.DUMMYFUNCTION("""COMPUTED_VALUE"""),46539.0)</f>
        <v>46539</v>
      </c>
      <c r="K132" s="10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7" t="str">
        <f>IFERROR(__xludf.DUMMYFUNCTION("""COMPUTED_VALUE"""),"MILLER")</f>
        <v>MILLER</v>
      </c>
      <c r="B133" s="8" t="str">
        <f>IFERROR(__xludf.DUMMYFUNCTION("""COMPUTED_VALUE"""),"HANNA")</f>
        <v>HANNA</v>
      </c>
      <c r="C133" s="8" t="str">
        <f>IFERROR(__xludf.DUMMYFUNCTION("""COMPUTED_VALUE"""),"WILKINSON")</f>
        <v>WILKINSON</v>
      </c>
      <c r="D133" s="8" t="str">
        <f>IFERROR(__xludf.DUMMYFUNCTION("""COMPUTED_VALUE"""),"IL")</f>
        <v>IL</v>
      </c>
      <c r="E133" s="8" t="str">
        <f>IFERROR(__xludf.DUMMYFUNCTION("""COMPUTED_VALUE"""),"USA")</f>
        <v>USA</v>
      </c>
      <c r="F133" s="8" t="str">
        <f>IFERROR(__xludf.DUMMYFUNCTION("""COMPUTED_VALUE"""),"TOP GUN TRIPLES")</f>
        <v>TOP GUN TRIPLES</v>
      </c>
      <c r="G133" s="8" t="str">
        <f>IFERROR(__xludf.DUMMYFUNCTION("""COMPUTED_VALUE"""),"1ST")</f>
        <v>1ST</v>
      </c>
      <c r="H133" s="8" t="str">
        <f>IFERROR(__xludf.DUMMYFUNCTION("""COMPUTED_VALUE"""),"BULLSHOOTER 36 FINALS")</f>
        <v>BULLSHOOTER 36 FINALS</v>
      </c>
      <c r="I133" s="9">
        <f>IFERROR(__xludf.DUMMYFUNCTION("""COMPUTED_VALUE"""),44713.0)</f>
        <v>44713</v>
      </c>
      <c r="J133" s="9">
        <f>IFERROR(__xludf.DUMMYFUNCTION("""COMPUTED_VALUE"""),45809.0)</f>
        <v>45809</v>
      </c>
      <c r="K133" s="10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7" t="str">
        <f>IFERROR(__xludf.DUMMYFUNCTION("""COMPUTED_VALUE"""),"MILLHOUSE")</f>
        <v>MILLHOUSE</v>
      </c>
      <c r="B134" s="8" t="str">
        <f>IFERROR(__xludf.DUMMYFUNCTION("""COMPUTED_VALUE"""),"CANDI")</f>
        <v>CANDI</v>
      </c>
      <c r="C134" s="8" t="str">
        <f>IFERROR(__xludf.DUMMYFUNCTION("""COMPUTED_VALUE"""),"TRIADELPHIA")</f>
        <v>TRIADELPHIA</v>
      </c>
      <c r="D134" s="8" t="str">
        <f>IFERROR(__xludf.DUMMYFUNCTION("""COMPUTED_VALUE"""),"WV")</f>
        <v>WV</v>
      </c>
      <c r="E134" s="8" t="str">
        <f>IFERROR(__xludf.DUMMYFUNCTION("""COMPUTED_VALUE"""),"USA")</f>
        <v>USA</v>
      </c>
      <c r="F134" s="8" t="str">
        <f>IFERROR(__xludf.DUMMYFUNCTION("""COMPUTED_VALUE"""),"WOMENS B DBLS CRICKET")</f>
        <v>WOMENS B DBLS CRICKET</v>
      </c>
      <c r="G134" s="8" t="str">
        <f>IFERROR(__xludf.DUMMYFUNCTION("""COMPUTED_VALUE"""),"2ND")</f>
        <v>2ND</v>
      </c>
      <c r="H134" s="8" t="str">
        <f>IFERROR(__xludf.DUMMYFUNCTION("""COMPUTED_VALUE"""),"BULLSHOOTER 36 FINALS")</f>
        <v>BULLSHOOTER 36 FINALS</v>
      </c>
      <c r="I134" s="9">
        <f>IFERROR(__xludf.DUMMYFUNCTION("""COMPUTED_VALUE"""),44713.0)</f>
        <v>44713</v>
      </c>
      <c r="J134" s="9">
        <f>IFERROR(__xludf.DUMMYFUNCTION("""COMPUTED_VALUE"""),45809.0)</f>
        <v>45809</v>
      </c>
      <c r="K134" s="10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7" t="str">
        <f>IFERROR(__xludf.DUMMYFUNCTION("""COMPUTED_VALUE"""),"Mills")</f>
        <v>Mills</v>
      </c>
      <c r="B135" s="8" t="str">
        <f>IFERROR(__xludf.DUMMYFUNCTION("""COMPUTED_VALUE"""),"Angela")</f>
        <v>Angela</v>
      </c>
      <c r="C135" s="8" t="str">
        <f>IFERROR(__xludf.DUMMYFUNCTION("""COMPUTED_VALUE"""),"DENVER")</f>
        <v>DENVER</v>
      </c>
      <c r="D135" s="8" t="str">
        <f>IFERROR(__xludf.DUMMYFUNCTION("""COMPUTED_VALUE"""),"CO")</f>
        <v>CO</v>
      </c>
      <c r="E135" s="8" t="str">
        <f>IFERROR(__xludf.DUMMYFUNCTION("""COMPUTED_VALUE"""),"USA")</f>
        <v>USA</v>
      </c>
      <c r="F135" s="8" t="str">
        <f>IFERROR(__xludf.DUMMYFUNCTION("""COMPUTED_VALUE"""),"WOMEN SINGLES COMBO")</f>
        <v>WOMEN SINGLES COMBO</v>
      </c>
      <c r="G135" s="8" t="str">
        <f>IFERROR(__xludf.DUMMYFUNCTION("""COMPUTED_VALUE"""),"2ND")</f>
        <v>2ND</v>
      </c>
      <c r="H135" s="8" t="str">
        <f>IFERROR(__xludf.DUMMYFUNCTION("""COMPUTED_VALUE"""),"NE REGIONAL BS 36")</f>
        <v>NE REGIONAL BS 36</v>
      </c>
      <c r="I135" s="9">
        <f>IFERROR(__xludf.DUMMYFUNCTION("""COMPUTED_VALUE"""),42401.0)</f>
        <v>42401</v>
      </c>
      <c r="J135" s="9">
        <f>IFERROR(__xludf.DUMMYFUNCTION("""COMPUTED_VALUE"""),45809.0)</f>
        <v>45809</v>
      </c>
      <c r="K135" s="10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7" t="str">
        <f>IFERROR(__xludf.DUMMYFUNCTION("""COMPUTED_VALUE"""),"Moore")</f>
        <v>Moore</v>
      </c>
      <c r="B136" s="8" t="str">
        <f>IFERROR(__xludf.DUMMYFUNCTION("""COMPUTED_VALUE"""),"Marrisa")</f>
        <v>Marrisa</v>
      </c>
      <c r="C136" s="8" t="str">
        <f>IFERROR(__xludf.DUMMYFUNCTION("""COMPUTED_VALUE"""),"PHOENIX")</f>
        <v>PHOENIX</v>
      </c>
      <c r="D136" s="8" t="str">
        <f>IFERROR(__xludf.DUMMYFUNCTION("""COMPUTED_VALUE"""),"AZ")</f>
        <v>AZ</v>
      </c>
      <c r="E136" s="8" t="str">
        <f>IFERROR(__xludf.DUMMYFUNCTION("""COMPUTED_VALUE"""),"USA")</f>
        <v>USA</v>
      </c>
      <c r="F136" s="8" t="str">
        <f>IFERROR(__xludf.DUMMYFUNCTION("""COMPUTED_VALUE"""),"WOMENS DBLS 301")</f>
        <v>WOMENS DBLS 301</v>
      </c>
      <c r="G136" s="8" t="str">
        <f>IFERROR(__xludf.DUMMYFUNCTION("""COMPUTED_VALUE"""),"2ND")</f>
        <v>2ND</v>
      </c>
      <c r="H136" s="8" t="str">
        <f>IFERROR(__xludf.DUMMYFUNCTION("""COMPUTED_VALUE"""),"AZ REGIONAL BS 36")</f>
        <v>AZ REGIONAL BS 36</v>
      </c>
      <c r="I136" s="9">
        <f>IFERROR(__xludf.DUMMYFUNCTION("""COMPUTED_VALUE"""),44713.0)</f>
        <v>44713</v>
      </c>
      <c r="J136" s="9">
        <f>IFERROR(__xludf.DUMMYFUNCTION("""COMPUTED_VALUE"""),45809.0)</f>
        <v>45809</v>
      </c>
      <c r="K136" s="10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7" t="str">
        <f>IFERROR(__xludf.DUMMYFUNCTION("""COMPUTED_VALUE"""),"Morton")</f>
        <v>Morton</v>
      </c>
      <c r="B137" s="8" t="str">
        <f>IFERROR(__xludf.DUMMYFUNCTION("""COMPUTED_VALUE"""),"Caeleigh")</f>
        <v>Caeleigh</v>
      </c>
      <c r="C137" s="8" t="str">
        <f>IFERROR(__xludf.DUMMYFUNCTION("""COMPUTED_VALUE"""),"Manhattan")</f>
        <v>Manhattan</v>
      </c>
      <c r="D137" s="8" t="str">
        <f>IFERROR(__xludf.DUMMYFUNCTION("""COMPUTED_VALUE"""),"KS")</f>
        <v>KS</v>
      </c>
      <c r="E137" s="8" t="str">
        <f>IFERROR(__xludf.DUMMYFUNCTION("""COMPUTED_VALUE"""),"USA")</f>
        <v>USA</v>
      </c>
      <c r="F137" s="8" t="str">
        <f>IFERROR(__xludf.DUMMYFUNCTION("""COMPUTED_VALUE"""),"WOMEN SINGLES COMBO")</f>
        <v>WOMEN SINGLES COMBO</v>
      </c>
      <c r="G137" s="8" t="str">
        <f>IFERROR(__xludf.DUMMYFUNCTION("""COMPUTED_VALUE"""),"1ST")</f>
        <v>1ST</v>
      </c>
      <c r="H137" s="8" t="str">
        <f>IFERROR(__xludf.DUMMYFUNCTION("""COMPUTED_VALUE"""),"NE REGIONAL BS 36")</f>
        <v>NE REGIONAL BS 36</v>
      </c>
      <c r="I137" s="9">
        <f>IFERROR(__xludf.DUMMYFUNCTION("""COMPUTED_VALUE"""),43983.0)</f>
        <v>43983</v>
      </c>
      <c r="J137" s="9">
        <f>IFERROR(__xludf.DUMMYFUNCTION("""COMPUTED_VALUE"""),45809.0)</f>
        <v>45809</v>
      </c>
      <c r="K137" s="10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7" t="str">
        <f>IFERROR(__xludf.DUMMYFUNCTION("""COMPUTED_VALUE"""),"MOSELEY")</f>
        <v>MOSELEY</v>
      </c>
      <c r="B138" s="8" t="str">
        <f>IFERROR(__xludf.DUMMYFUNCTION("""COMPUTED_VALUE"""),"LORAINE")</f>
        <v>LORAINE</v>
      </c>
      <c r="C138" s="8" t="str">
        <f>IFERROR(__xludf.DUMMYFUNCTION("""COMPUTED_VALUE"""),"KINGSVILLE")</f>
        <v>KINGSVILLE</v>
      </c>
      <c r="D138" s="8" t="str">
        <f>IFERROR(__xludf.DUMMYFUNCTION("""COMPUTED_VALUE"""),"TX")</f>
        <v>TX</v>
      </c>
      <c r="E138" s="8" t="str">
        <f>IFERROR(__xludf.DUMMYFUNCTION("""COMPUTED_VALUE"""),"USA")</f>
        <v>USA</v>
      </c>
      <c r="F138" s="8" t="str">
        <f>IFERROR(__xludf.DUMMYFUNCTION("""COMPUTED_VALUE"""),"WOMENS 301 DBLS")</f>
        <v>WOMENS 301 DBLS</v>
      </c>
      <c r="G138" s="8" t="str">
        <f>IFERROR(__xludf.DUMMYFUNCTION("""COMPUTED_VALUE"""),"2")</f>
        <v>2</v>
      </c>
      <c r="H138" s="8" t="str">
        <f>IFERROR(__xludf.DUMMYFUNCTION("""COMPUTED_VALUE"""),"BS 37 TX")</f>
        <v>BS 37 TX</v>
      </c>
      <c r="I138" s="9">
        <f>IFERROR(__xludf.DUMMYFUNCTION("""COMPUTED_VALUE"""),45078.0)</f>
        <v>45078</v>
      </c>
      <c r="J138" s="9">
        <f>IFERROR(__xludf.DUMMYFUNCTION("""COMPUTED_VALUE"""),46174.0)</f>
        <v>46174</v>
      </c>
      <c r="K138" s="10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7" t="str">
        <f>IFERROR(__xludf.DUMMYFUNCTION("""COMPUTED_VALUE"""),"MOSELY")</f>
        <v>MOSELY</v>
      </c>
      <c r="B139" s="8" t="str">
        <f>IFERROR(__xludf.DUMMYFUNCTION("""COMPUTED_VALUE"""),"LORAINE")</f>
        <v>LORAINE</v>
      </c>
      <c r="C139" s="8" t="str">
        <f>IFERROR(__xludf.DUMMYFUNCTION("""COMPUTED_VALUE"""),"KINGSVILLE")</f>
        <v>KINGSVILLE</v>
      </c>
      <c r="D139" s="8" t="str">
        <f>IFERROR(__xludf.DUMMYFUNCTION("""COMPUTED_VALUE"""),"TX")</f>
        <v>TX</v>
      </c>
      <c r="E139" s="8" t="str">
        <f>IFERROR(__xludf.DUMMYFUNCTION("""COMPUTED_VALUE"""),"USA")</f>
        <v>USA</v>
      </c>
      <c r="F139" s="8" t="str">
        <f>IFERROR(__xludf.DUMMYFUNCTION("""COMPUTED_VALUE"""),"WOMEN DBLS 301")</f>
        <v>WOMEN DBLS 301</v>
      </c>
      <c r="G139" s="8" t="str">
        <f>IFERROR(__xludf.DUMMYFUNCTION("""COMPUTED_VALUE"""),"2ND")</f>
        <v>2ND</v>
      </c>
      <c r="H139" s="8" t="str">
        <f>IFERROR(__xludf.DUMMYFUNCTION("""COMPUTED_VALUE"""),"TX REGIONAL BS 38")</f>
        <v>TX REGIONAL BS 38</v>
      </c>
      <c r="I139" s="9">
        <f>IFERROR(__xludf.DUMMYFUNCTION("""COMPUTED_VALUE"""),45444.0)</f>
        <v>45444</v>
      </c>
      <c r="J139" s="9">
        <f>IFERROR(__xludf.DUMMYFUNCTION("""COMPUTED_VALUE"""),46539.0)</f>
        <v>46539</v>
      </c>
      <c r="K139" s="10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7" t="str">
        <f>IFERROR(__xludf.DUMMYFUNCTION("""COMPUTED_VALUE"""),"MOWERY")</f>
        <v>MOWERY</v>
      </c>
      <c r="B140" s="8" t="str">
        <f>IFERROR(__xludf.DUMMYFUNCTION("""COMPUTED_VALUE"""),"PAYTON")</f>
        <v>PAYTON</v>
      </c>
      <c r="C140" s="8" t="str">
        <f>IFERROR(__xludf.DUMMYFUNCTION("""COMPUTED_VALUE"""),"PORTVILLE")</f>
        <v>PORTVILLE</v>
      </c>
      <c r="D140" s="8" t="str">
        <f>IFERROR(__xludf.DUMMYFUNCTION("""COMPUTED_VALUE"""),"NY")</f>
        <v>NY</v>
      </c>
      <c r="E140" s="8" t="str">
        <f>IFERROR(__xludf.DUMMYFUNCTION("""COMPUTED_VALUE"""),"USA")</f>
        <v>USA</v>
      </c>
      <c r="F140" s="8" t="str">
        <f>IFERROR(__xludf.DUMMYFUNCTION("""COMPUTED_VALUE"""),"WOMENS 301 DBLS")</f>
        <v>WOMENS 301 DBLS</v>
      </c>
      <c r="G140" s="8" t="str">
        <f>IFERROR(__xludf.DUMMYFUNCTION("""COMPUTED_VALUE"""),"3")</f>
        <v>3</v>
      </c>
      <c r="H140" s="8" t="str">
        <f>IFERROR(__xludf.DUMMYFUNCTION("""COMPUTED_VALUE"""),"BS 37 NY")</f>
        <v>BS 37 NY</v>
      </c>
      <c r="I140" s="9">
        <f>IFERROR(__xludf.DUMMYFUNCTION("""COMPUTED_VALUE"""),45078.0)</f>
        <v>45078</v>
      </c>
      <c r="J140" s="9">
        <f>IFERROR(__xludf.DUMMYFUNCTION("""COMPUTED_VALUE"""),46174.0)</f>
        <v>46174</v>
      </c>
      <c r="K140" s="10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7" t="str">
        <f>IFERROR(__xludf.DUMMYFUNCTION("""COMPUTED_VALUE"""),"MOWERY")</f>
        <v>MOWERY</v>
      </c>
      <c r="B141" s="8" t="str">
        <f>IFERROR(__xludf.DUMMYFUNCTION("""COMPUTED_VALUE"""),"THERESA")</f>
        <v>THERESA</v>
      </c>
      <c r="C141" s="8" t="str">
        <f>IFERROR(__xludf.DUMMYFUNCTION("""COMPUTED_VALUE"""),"PORTVILLE")</f>
        <v>PORTVILLE</v>
      </c>
      <c r="D141" s="8" t="str">
        <f>IFERROR(__xludf.DUMMYFUNCTION("""COMPUTED_VALUE"""),"NY")</f>
        <v>NY</v>
      </c>
      <c r="E141" s="8" t="str">
        <f>IFERROR(__xludf.DUMMYFUNCTION("""COMPUTED_VALUE"""),"USA")</f>
        <v>USA</v>
      </c>
      <c r="F141" s="8" t="str">
        <f>IFERROR(__xludf.DUMMYFUNCTION("""COMPUTED_VALUE"""),"WOMENS DBLS 301")</f>
        <v>WOMENS DBLS 301</v>
      </c>
      <c r="G141" s="8" t="str">
        <f>IFERROR(__xludf.DUMMYFUNCTION("""COMPUTED_VALUE"""),"2ND")</f>
        <v>2ND</v>
      </c>
      <c r="H141" s="8" t="str">
        <f>IFERROR(__xludf.DUMMYFUNCTION("""COMPUTED_VALUE"""),"NY REGIONAL BS 36")</f>
        <v>NY REGIONAL BS 36</v>
      </c>
      <c r="I141" s="9">
        <f>IFERROR(__xludf.DUMMYFUNCTION("""COMPUTED_VALUE"""),44713.0)</f>
        <v>44713</v>
      </c>
      <c r="J141" s="9">
        <f>IFERROR(__xludf.DUMMYFUNCTION("""COMPUTED_VALUE"""),45809.0)</f>
        <v>45809</v>
      </c>
      <c r="K141" s="10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7" t="str">
        <f>IFERROR(__xludf.DUMMYFUNCTION("""COMPUTED_VALUE"""),"MULLEN")</f>
        <v>MULLEN</v>
      </c>
      <c r="B142" s="8" t="str">
        <f>IFERROR(__xludf.DUMMYFUNCTION("""COMPUTED_VALUE"""),"DESTINEE")</f>
        <v>DESTINEE</v>
      </c>
      <c r="C142" s="8" t="str">
        <f>IFERROR(__xludf.DUMMYFUNCTION("""COMPUTED_VALUE"""),"NORFOLK")</f>
        <v>NORFOLK</v>
      </c>
      <c r="D142" s="8" t="str">
        <f>IFERROR(__xludf.DUMMYFUNCTION("""COMPUTED_VALUE"""),"VA")</f>
        <v>VA</v>
      </c>
      <c r="E142" s="8" t="str">
        <f>IFERROR(__xludf.DUMMYFUNCTION("""COMPUTED_VALUE"""),"USA")</f>
        <v>USA</v>
      </c>
      <c r="F142" s="8" t="str">
        <f>IFERROR(__xludf.DUMMYFUNCTION("""COMPUTED_VALUE"""),"WOMENS DBLS COMBO")</f>
        <v>WOMENS DBLS COMBO</v>
      </c>
      <c r="G142" s="8" t="str">
        <f>IFERROR(__xludf.DUMMYFUNCTION("""COMPUTED_VALUE"""),"3RD")</f>
        <v>3RD</v>
      </c>
      <c r="H142" s="8" t="str">
        <f>IFERROR(__xludf.DUMMYFUNCTION("""COMPUTED_VALUE"""),"FL REGIONAL BS 36")</f>
        <v>FL REGIONAL BS 36</v>
      </c>
      <c r="I142" s="9">
        <f>IFERROR(__xludf.DUMMYFUNCTION("""COMPUTED_VALUE"""),44713.0)</f>
        <v>44713</v>
      </c>
      <c r="J142" s="9">
        <f>IFERROR(__xludf.DUMMYFUNCTION("""COMPUTED_VALUE"""),45809.0)</f>
        <v>45809</v>
      </c>
      <c r="K142" s="10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7" t="str">
        <f>IFERROR(__xludf.DUMMYFUNCTION("""COMPUTED_VALUE"""),"MURRAY")</f>
        <v>MURRAY</v>
      </c>
      <c r="B143" s="8" t="str">
        <f>IFERROR(__xludf.DUMMYFUNCTION("""COMPUTED_VALUE"""),"KAYLA")</f>
        <v>KAYLA</v>
      </c>
      <c r="C143" s="8" t="str">
        <f>IFERROR(__xludf.DUMMYFUNCTION("""COMPUTED_VALUE"""),"LAKELAND")</f>
        <v>LAKELAND</v>
      </c>
      <c r="D143" s="8" t="str">
        <f>IFERROR(__xludf.DUMMYFUNCTION("""COMPUTED_VALUE"""),"FL")</f>
        <v>FL</v>
      </c>
      <c r="E143" s="8" t="str">
        <f>IFERROR(__xludf.DUMMYFUNCTION("""COMPUTED_VALUE"""),"USA")</f>
        <v>USA</v>
      </c>
      <c r="F143" s="8" t="str">
        <f>IFERROR(__xludf.DUMMYFUNCTION("""COMPUTED_VALUE"""),"WOMEN SINGLES")</f>
        <v>WOMEN SINGLES</v>
      </c>
      <c r="G143" s="8" t="str">
        <f>IFERROR(__xludf.DUMMYFUNCTION("""COMPUTED_VALUE"""),"1")</f>
        <v>1</v>
      </c>
      <c r="H143" s="8" t="str">
        <f>IFERROR(__xludf.DUMMYFUNCTION("""COMPUTED_VALUE"""),"BS 37 SC")</f>
        <v>BS 37 SC</v>
      </c>
      <c r="I143" s="9">
        <f>IFERROR(__xludf.DUMMYFUNCTION("""COMPUTED_VALUE"""),45078.0)</f>
        <v>45078</v>
      </c>
      <c r="J143" s="9">
        <f>IFERROR(__xludf.DUMMYFUNCTION("""COMPUTED_VALUE"""),46174.0)</f>
        <v>46174</v>
      </c>
      <c r="K143" s="10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7" t="str">
        <f>IFERROR(__xludf.DUMMYFUNCTION("""COMPUTED_VALUE"""),"Nagel")</f>
        <v>Nagel</v>
      </c>
      <c r="B144" s="8" t="str">
        <f>IFERROR(__xludf.DUMMYFUNCTION("""COMPUTED_VALUE"""),"Miranda")</f>
        <v>Miranda</v>
      </c>
      <c r="C144" s="8" t="str">
        <f>IFERROR(__xludf.DUMMYFUNCTION("""COMPUTED_VALUE"""),"Rockwell City")</f>
        <v>Rockwell City</v>
      </c>
      <c r="D144" s="8" t="str">
        <f>IFERROR(__xludf.DUMMYFUNCTION("""COMPUTED_VALUE"""),"IA")</f>
        <v>IA</v>
      </c>
      <c r="E144" s="8" t="str">
        <f>IFERROR(__xludf.DUMMYFUNCTION("""COMPUTED_VALUE"""),"USA")</f>
        <v>USA</v>
      </c>
      <c r="F144" s="8" t="str">
        <f>IFERROR(__xludf.DUMMYFUNCTION("""COMPUTED_VALUE"""),"MIXED TRIPLES 701")</f>
        <v>MIXED TRIPLES 701</v>
      </c>
      <c r="G144" s="8" t="str">
        <f>IFERROR(__xludf.DUMMYFUNCTION("""COMPUTED_VALUE"""),"1ST")</f>
        <v>1ST</v>
      </c>
      <c r="H144" s="8" t="str">
        <f>IFERROR(__xludf.DUMMYFUNCTION("""COMPUTED_VALUE"""),"NE REGIONAL BS 36")</f>
        <v>NE REGIONAL BS 36</v>
      </c>
      <c r="I144" s="9">
        <f>IFERROR(__xludf.DUMMYFUNCTION("""COMPUTED_VALUE"""),43983.0)</f>
        <v>43983</v>
      </c>
      <c r="J144" s="9">
        <f>IFERROR(__xludf.DUMMYFUNCTION("""COMPUTED_VALUE"""),45809.0)</f>
        <v>45809</v>
      </c>
      <c r="K144" s="10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7" t="str">
        <f>IFERROR(__xludf.DUMMYFUNCTION("""COMPUTED_VALUE"""),"NEJEDLO")</f>
        <v>NEJEDLO</v>
      </c>
      <c r="B145" s="8" t="str">
        <f>IFERROR(__xludf.DUMMYFUNCTION("""COMPUTED_VALUE"""),"BECKY")</f>
        <v>BECKY</v>
      </c>
      <c r="C145" s="8" t="str">
        <f>IFERROR(__xludf.DUMMYFUNCTION("""COMPUTED_VALUE"""),"JANESVILLE")</f>
        <v>JANESVILLE</v>
      </c>
      <c r="D145" s="8" t="str">
        <f>IFERROR(__xludf.DUMMYFUNCTION("""COMPUTED_VALUE"""),"WI")</f>
        <v>WI</v>
      </c>
      <c r="E145" s="8" t="str">
        <f>IFERROR(__xludf.DUMMYFUNCTION("""COMPUTED_VALUE"""),"USA")</f>
        <v>USA</v>
      </c>
      <c r="F145" s="8" t="str">
        <f>IFERROR(__xludf.DUMMYFUNCTION("""COMPUTED_VALUE"""),"WOMEN B CRICKET DBLS")</f>
        <v>WOMEN B CRICKET DBLS</v>
      </c>
      <c r="G145" s="8" t="str">
        <f>IFERROR(__xludf.DUMMYFUNCTION("""COMPUTED_VALUE"""),"1")</f>
        <v>1</v>
      </c>
      <c r="H145" s="8" t="str">
        <f>IFERROR(__xludf.DUMMYFUNCTION("""COMPUTED_VALUE"""),"BS 37 FINALS")</f>
        <v>BS 37 FINALS</v>
      </c>
      <c r="I145" s="9">
        <f>IFERROR(__xludf.DUMMYFUNCTION("""COMPUTED_VALUE"""),45078.0)</f>
        <v>45078</v>
      </c>
      <c r="J145" s="9">
        <f>IFERROR(__xludf.DUMMYFUNCTION("""COMPUTED_VALUE"""),46174.0)</f>
        <v>46174</v>
      </c>
      <c r="K145" s="10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7" t="str">
        <f>IFERROR(__xludf.DUMMYFUNCTION("""COMPUTED_VALUE"""),"NEWSOME")</f>
        <v>NEWSOME</v>
      </c>
      <c r="B146" s="8" t="str">
        <f>IFERROR(__xludf.DUMMYFUNCTION("""COMPUTED_VALUE"""),"AMANDA")</f>
        <v>AMANDA</v>
      </c>
      <c r="C146" s="8" t="str">
        <f>IFERROR(__xludf.DUMMYFUNCTION("""COMPUTED_VALUE"""),"MANSFIELD")</f>
        <v>MANSFIELD</v>
      </c>
      <c r="D146" s="8" t="str">
        <f>IFERROR(__xludf.DUMMYFUNCTION("""COMPUTED_VALUE"""),"OH")</f>
        <v>OH</v>
      </c>
      <c r="E146" s="8" t="str">
        <f>IFERROR(__xludf.DUMMYFUNCTION("""COMPUTED_VALUE"""),"USA")</f>
        <v>USA</v>
      </c>
      <c r="F146" s="8" t="str">
        <f>IFERROR(__xludf.DUMMYFUNCTION("""COMPUTED_VALUE"""),"WOMEN SINGLES COMBO")</f>
        <v>WOMEN SINGLES COMBO</v>
      </c>
      <c r="G146" s="8" t="str">
        <f>IFERROR(__xludf.DUMMYFUNCTION("""COMPUTED_VALUE"""),"2ND")</f>
        <v>2ND</v>
      </c>
      <c r="H146" s="8" t="str">
        <f>IFERROR(__xludf.DUMMYFUNCTION("""COMPUTED_VALUE"""),"OH REGIONAL BS 38")</f>
        <v>OH REGIONAL BS 38</v>
      </c>
      <c r="I146" s="9">
        <f>IFERROR(__xludf.DUMMYFUNCTION("""COMPUTED_VALUE"""),45444.0)</f>
        <v>45444</v>
      </c>
      <c r="J146" s="9">
        <f>IFERROR(__xludf.DUMMYFUNCTION("""COMPUTED_VALUE"""),46539.0)</f>
        <v>46539</v>
      </c>
      <c r="K146" s="10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7" t="str">
        <f>IFERROR(__xludf.DUMMYFUNCTION("""COMPUTED_VALUE"""),"NGUGI")</f>
        <v>NGUGI</v>
      </c>
      <c r="B147" s="8" t="str">
        <f>IFERROR(__xludf.DUMMYFUNCTION("""COMPUTED_VALUE"""),"CAROLINE")</f>
        <v>CAROLINE</v>
      </c>
      <c r="C147" s="8" t="str">
        <f>IFERROR(__xludf.DUMMYFUNCTION("""COMPUTED_VALUE"""),"PUYALLUP")</f>
        <v>PUYALLUP</v>
      </c>
      <c r="D147" s="8" t="str">
        <f>IFERROR(__xludf.DUMMYFUNCTION("""COMPUTED_VALUE"""),"WA")</f>
        <v>WA</v>
      </c>
      <c r="E147" s="8" t="str">
        <f>IFERROR(__xludf.DUMMYFUNCTION("""COMPUTED_VALUE"""),"USA")</f>
        <v>USA</v>
      </c>
      <c r="F147" s="8" t="str">
        <f>IFERROR(__xludf.DUMMYFUNCTION("""COMPUTED_VALUE"""),"WOMEN B 301 DBLS")</f>
        <v>WOMEN B 301 DBLS</v>
      </c>
      <c r="G147" s="8" t="str">
        <f>IFERROR(__xludf.DUMMYFUNCTION("""COMPUTED_VALUE"""),"2")</f>
        <v>2</v>
      </c>
      <c r="H147" s="8" t="str">
        <f>IFERROR(__xludf.DUMMYFUNCTION("""COMPUTED_VALUE"""),"BS 37 FINALS")</f>
        <v>BS 37 FINALS</v>
      </c>
      <c r="I147" s="9">
        <f>IFERROR(__xludf.DUMMYFUNCTION("""COMPUTED_VALUE"""),45078.0)</f>
        <v>45078</v>
      </c>
      <c r="J147" s="9">
        <f>IFERROR(__xludf.DUMMYFUNCTION("""COMPUTED_VALUE"""),46174.0)</f>
        <v>46174</v>
      </c>
      <c r="K147" s="10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7" t="str">
        <f>IFERROR(__xludf.DUMMYFUNCTION("""COMPUTED_VALUE"""),"NIELSEN")</f>
        <v>NIELSEN</v>
      </c>
      <c r="B148" s="8" t="str">
        <f>IFERROR(__xludf.DUMMYFUNCTION("""COMPUTED_VALUE"""),"CARRIE")</f>
        <v>CARRIE</v>
      </c>
      <c r="C148" s="8" t="str">
        <f>IFERROR(__xludf.DUMMYFUNCTION("""COMPUTED_VALUE"""),"DES MOINES")</f>
        <v>DES MOINES</v>
      </c>
      <c r="D148" s="8" t="str">
        <f>IFERROR(__xludf.DUMMYFUNCTION("""COMPUTED_VALUE"""),"IA")</f>
        <v>IA</v>
      </c>
      <c r="E148" s="8" t="str">
        <f>IFERROR(__xludf.DUMMYFUNCTION("""COMPUTED_VALUE"""),"USA")</f>
        <v>USA</v>
      </c>
      <c r="F148" s="8" t="str">
        <f>IFERROR(__xludf.DUMMYFUNCTION("""COMPUTED_VALUE"""),"WOMENS 301 DBLS")</f>
        <v>WOMENS 301 DBLS</v>
      </c>
      <c r="G148" s="8" t="str">
        <f>IFERROR(__xludf.DUMMYFUNCTION("""COMPUTED_VALUE"""),"2")</f>
        <v>2</v>
      </c>
      <c r="H148" s="8" t="str">
        <f>IFERROR(__xludf.DUMMYFUNCTION("""COMPUTED_VALUE"""),"BS 37 NE")</f>
        <v>BS 37 NE</v>
      </c>
      <c r="I148" s="9">
        <f>IFERROR(__xludf.DUMMYFUNCTION("""COMPUTED_VALUE"""),45078.0)</f>
        <v>45078</v>
      </c>
      <c r="J148" s="9">
        <f>IFERROR(__xludf.DUMMYFUNCTION("""COMPUTED_VALUE"""),46174.0)</f>
        <v>46174</v>
      </c>
      <c r="K148" s="10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7" t="str">
        <f>IFERROR(__xludf.DUMMYFUNCTION("""COMPUTED_VALUE"""),"NIETO-VANHAM")</f>
        <v>NIETO-VANHAM</v>
      </c>
      <c r="B149" s="8" t="str">
        <f>IFERROR(__xludf.DUMMYFUNCTION("""COMPUTED_VALUE"""),"MARGARET")</f>
        <v>MARGARET</v>
      </c>
      <c r="C149" s="8" t="str">
        <f>IFERROR(__xludf.DUMMYFUNCTION("""COMPUTED_VALUE"""),"THE WOODLANDS")</f>
        <v>THE WOODLANDS</v>
      </c>
      <c r="D149" s="8" t="str">
        <f>IFERROR(__xludf.DUMMYFUNCTION("""COMPUTED_VALUE"""),"TX")</f>
        <v>TX</v>
      </c>
      <c r="E149" s="8" t="str">
        <f>IFERROR(__xludf.DUMMYFUNCTION("""COMPUTED_VALUE"""),"USA")</f>
        <v>USA</v>
      </c>
      <c r="F149" s="8" t="str">
        <f>IFERROR(__xludf.DUMMYFUNCTION("""COMPUTED_VALUE"""),"WOMENS DBLS C301")</f>
        <v>WOMENS DBLS C301</v>
      </c>
      <c r="G149" s="8" t="str">
        <f>IFERROR(__xludf.DUMMYFUNCTION("""COMPUTED_VALUE"""),"2ND")</f>
        <v>2ND</v>
      </c>
      <c r="H149" s="8" t="str">
        <f>IFERROR(__xludf.DUMMYFUNCTION("""COMPUTED_VALUE"""),"TX REGIONAL BS 38")</f>
        <v>TX REGIONAL BS 38</v>
      </c>
      <c r="I149" s="9">
        <f>IFERROR(__xludf.DUMMYFUNCTION("""COMPUTED_VALUE"""),45444.0)</f>
        <v>45444</v>
      </c>
      <c r="J149" s="9">
        <f>IFERROR(__xludf.DUMMYFUNCTION("""COMPUTED_VALUE"""),46539.0)</f>
        <v>46539</v>
      </c>
      <c r="K149" s="10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7" t="str">
        <f>IFERROR(__xludf.DUMMYFUNCTION("""COMPUTED_VALUE"""),"NOWAK")</f>
        <v>NOWAK</v>
      </c>
      <c r="B150" s="8" t="str">
        <f>IFERROR(__xludf.DUMMYFUNCTION("""COMPUTED_VALUE"""),"JAMI")</f>
        <v>JAMI</v>
      </c>
      <c r="C150" s="8" t="str">
        <f>IFERROR(__xludf.DUMMYFUNCTION("""COMPUTED_VALUE"""),"SHEBOYGAN")</f>
        <v>SHEBOYGAN</v>
      </c>
      <c r="D150" s="8" t="str">
        <f>IFERROR(__xludf.DUMMYFUNCTION("""COMPUTED_VALUE"""),"WI")</f>
        <v>WI</v>
      </c>
      <c r="E150" s="8" t="str">
        <f>IFERROR(__xludf.DUMMYFUNCTION("""COMPUTED_VALUE"""),"USA")</f>
        <v>USA</v>
      </c>
      <c r="F150" s="8" t="str">
        <f>IFERROR(__xludf.DUMMYFUNCTION("""COMPUTED_VALUE"""),"TG MIXED TRIPLES 701")</f>
        <v>TG MIXED TRIPLES 701</v>
      </c>
      <c r="G150" s="8" t="str">
        <f>IFERROR(__xludf.DUMMYFUNCTION("""COMPUTED_VALUE"""),"2ND")</f>
        <v>2ND</v>
      </c>
      <c r="H150" s="8" t="str">
        <f>IFERROR(__xludf.DUMMYFUNCTION("""COMPUTED_VALUE"""),"BS 38 FINALS")</f>
        <v>BS 38 FINALS</v>
      </c>
      <c r="I150" s="9">
        <f>IFERROR(__xludf.DUMMYFUNCTION("""COMPUTED_VALUE"""),45444.0)</f>
        <v>45444</v>
      </c>
      <c r="J150" s="9">
        <f>IFERROR(__xludf.DUMMYFUNCTION("""COMPUTED_VALUE"""),46539.0)</f>
        <v>46539</v>
      </c>
      <c r="K150" s="10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7" t="str">
        <f>IFERROR(__xludf.DUMMYFUNCTION("""COMPUTED_VALUE"""),"OLIVER")</f>
        <v>OLIVER</v>
      </c>
      <c r="B151" s="8" t="str">
        <f>IFERROR(__xludf.DUMMYFUNCTION("""COMPUTED_VALUE"""),"ASHLEY")</f>
        <v>ASHLEY</v>
      </c>
      <c r="C151" s="8" t="str">
        <f>IFERROR(__xludf.DUMMYFUNCTION("""COMPUTED_VALUE"""),"Port St. Lucie")</f>
        <v>Port St. Lucie</v>
      </c>
      <c r="D151" s="8" t="str">
        <f>IFERROR(__xludf.DUMMYFUNCTION("""COMPUTED_VALUE"""),"FL")</f>
        <v>FL</v>
      </c>
      <c r="E151" s="8" t="str">
        <f>IFERROR(__xludf.DUMMYFUNCTION("""COMPUTED_VALUE"""),"USA")</f>
        <v>USA</v>
      </c>
      <c r="F151" s="8" t="str">
        <f>IFERROR(__xludf.DUMMYFUNCTION("""COMPUTED_VALUE"""),"WOMEN SINGLES COMBO")</f>
        <v>WOMEN SINGLES COMBO</v>
      </c>
      <c r="G151" s="8" t="str">
        <f>IFERROR(__xludf.DUMMYFUNCTION("""COMPUTED_VALUE"""),"3RD")</f>
        <v>3RD</v>
      </c>
      <c r="H151" s="8" t="str">
        <f>IFERROR(__xludf.DUMMYFUNCTION("""COMPUTED_VALUE"""),"FL REGIONAL BS 38")</f>
        <v>FL REGIONAL BS 38</v>
      </c>
      <c r="I151" s="9">
        <f>IFERROR(__xludf.DUMMYFUNCTION("""COMPUTED_VALUE"""),45444.0)</f>
        <v>45444</v>
      </c>
      <c r="J151" s="9">
        <f>IFERROR(__xludf.DUMMYFUNCTION("""COMPUTED_VALUE"""),46539.0)</f>
        <v>46539</v>
      </c>
      <c r="K151" s="10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7" t="str">
        <f>IFERROR(__xludf.DUMMYFUNCTION("""COMPUTED_VALUE"""),"Olson")</f>
        <v>Olson</v>
      </c>
      <c r="B152" s="8" t="str">
        <f>IFERROR(__xludf.DUMMYFUNCTION("""COMPUTED_VALUE"""),"Sonja")</f>
        <v>Sonja</v>
      </c>
      <c r="C152" s="8"/>
      <c r="D152" s="8"/>
      <c r="E152" s="8" t="str">
        <f>IFERROR(__xludf.DUMMYFUNCTION("""COMPUTED_VALUE"""),"USA")</f>
        <v>USA</v>
      </c>
      <c r="F152" s="8"/>
      <c r="G152" s="8"/>
      <c r="H152" s="8" t="str">
        <f>IFERROR(__xludf.DUMMYFUNCTION("""COMPUTED_VALUE"""),"ADO Top 25 2020")</f>
        <v>ADO Top 25 2020</v>
      </c>
      <c r="I152" s="9">
        <f>IFERROR(__xludf.DUMMYFUNCTION("""COMPUTED_VALUE"""),44348.0)</f>
        <v>44348</v>
      </c>
      <c r="J152" s="9">
        <f>IFERROR(__xludf.DUMMYFUNCTION("""COMPUTED_VALUE"""),46539.0)</f>
        <v>46539</v>
      </c>
      <c r="K152" s="10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7" t="str">
        <f>IFERROR(__xludf.DUMMYFUNCTION("""COMPUTED_VALUE"""),"Olson")</f>
        <v>Olson</v>
      </c>
      <c r="B153" s="8" t="str">
        <f>IFERROR(__xludf.DUMMYFUNCTION("""COMPUTED_VALUE"""),"Michele")</f>
        <v>Michele</v>
      </c>
      <c r="C153" s="8"/>
      <c r="D153" s="8"/>
      <c r="E153" s="8" t="str">
        <f>IFERROR(__xludf.DUMMYFUNCTION("""COMPUTED_VALUE"""),"USA")</f>
        <v>USA</v>
      </c>
      <c r="F153" s="8"/>
      <c r="G153" s="8"/>
      <c r="H153" s="8" t="str">
        <f>IFERROR(__xludf.DUMMYFUNCTION("""COMPUTED_VALUE"""),"ADO Top 25 2020")</f>
        <v>ADO Top 25 2020</v>
      </c>
      <c r="I153" s="9">
        <f>IFERROR(__xludf.DUMMYFUNCTION("""COMPUTED_VALUE"""),44348.0)</f>
        <v>44348</v>
      </c>
      <c r="J153" s="9">
        <f>IFERROR(__xludf.DUMMYFUNCTION("""COMPUTED_VALUE"""),46539.0)</f>
        <v>46539</v>
      </c>
      <c r="K153" s="10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7" t="str">
        <f>IFERROR(__xludf.DUMMYFUNCTION("""COMPUTED_VALUE"""),"OSTERHOUDT")</f>
        <v>OSTERHOUDT</v>
      </c>
      <c r="B154" s="8" t="str">
        <f>IFERROR(__xludf.DUMMYFUNCTION("""COMPUTED_VALUE"""),"BREANNA")</f>
        <v>BREANNA</v>
      </c>
      <c r="C154" s="8" t="str">
        <f>IFERROR(__xludf.DUMMYFUNCTION("""COMPUTED_VALUE"""),"HIBBING")</f>
        <v>HIBBING</v>
      </c>
      <c r="D154" s="8" t="str">
        <f>IFERROR(__xludf.DUMMYFUNCTION("""COMPUTED_VALUE"""),"MN")</f>
        <v>MN</v>
      </c>
      <c r="E154" s="8" t="str">
        <f>IFERROR(__xludf.DUMMYFUNCTION("""COMPUTED_VALUE"""),"USA")</f>
        <v>USA</v>
      </c>
      <c r="F154" s="8" t="str">
        <f>IFERROR(__xludf.DUMMYFUNCTION("""COMPUTED_VALUE"""),"WOMENS B COMBO LUCK")</f>
        <v>WOMENS B COMBO LUCK</v>
      </c>
      <c r="G154" s="8" t="str">
        <f>IFERROR(__xludf.DUMMYFUNCTION("""COMPUTED_VALUE"""),"3RD")</f>
        <v>3RD</v>
      </c>
      <c r="H154" s="8" t="str">
        <f>IFERROR(__xludf.DUMMYFUNCTION("""COMPUTED_VALUE"""),"BULLSHOOTER 36 FINALS")</f>
        <v>BULLSHOOTER 36 FINALS</v>
      </c>
      <c r="I154" s="9">
        <f>IFERROR(__xludf.DUMMYFUNCTION("""COMPUTED_VALUE"""),44713.0)</f>
        <v>44713</v>
      </c>
      <c r="J154" s="9">
        <f>IFERROR(__xludf.DUMMYFUNCTION("""COMPUTED_VALUE"""),45809.0)</f>
        <v>45809</v>
      </c>
      <c r="K154" s="10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7" t="str">
        <f>IFERROR(__xludf.DUMMYFUNCTION("""COMPUTED_VALUE"""),"Pace")</f>
        <v>Pace</v>
      </c>
      <c r="B155" s="8" t="str">
        <f>IFERROR(__xludf.DUMMYFUNCTION("""COMPUTED_VALUE"""),"Stacey")</f>
        <v>Stacey</v>
      </c>
      <c r="C155" s="8" t="str">
        <f>IFERROR(__xludf.DUMMYFUNCTION("""COMPUTED_VALUE"""),"Louisville")</f>
        <v>Louisville</v>
      </c>
      <c r="D155" s="8" t="str">
        <f>IFERROR(__xludf.DUMMYFUNCTION("""COMPUTED_VALUE"""),"CO")</f>
        <v>CO</v>
      </c>
      <c r="E155" s="8" t="str">
        <f>IFERROR(__xludf.DUMMYFUNCTION("""COMPUTED_VALUE"""),"USA")</f>
        <v>USA</v>
      </c>
      <c r="F155" s="8"/>
      <c r="G155" s="8"/>
      <c r="H155" s="8" t="str">
        <f>IFERROR(__xludf.DUMMYFUNCTION("""COMPUTED_VALUE"""),"ADO Top 25 2020")</f>
        <v>ADO Top 25 2020</v>
      </c>
      <c r="I155" s="9">
        <f>IFERROR(__xludf.DUMMYFUNCTION("""COMPUTED_VALUE"""),44348.0)</f>
        <v>44348</v>
      </c>
      <c r="J155" s="9">
        <f>IFERROR(__xludf.DUMMYFUNCTION("""COMPUTED_VALUE"""),46539.0)</f>
        <v>46539</v>
      </c>
      <c r="K155" s="10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7" t="str">
        <f>IFERROR(__xludf.DUMMYFUNCTION("""COMPUTED_VALUE"""),"PALUMBO")</f>
        <v>PALUMBO</v>
      </c>
      <c r="B156" s="8" t="str">
        <f>IFERROR(__xludf.DUMMYFUNCTION("""COMPUTED_VALUE"""),"ALYSON")</f>
        <v>ALYSON</v>
      </c>
      <c r="C156" s="8" t="str">
        <f>IFERROR(__xludf.DUMMYFUNCTION("""COMPUTED_VALUE"""),"SUMTER")</f>
        <v>SUMTER</v>
      </c>
      <c r="D156" s="8" t="str">
        <f>IFERROR(__xludf.DUMMYFUNCTION("""COMPUTED_VALUE"""),"SC")</f>
        <v>SC</v>
      </c>
      <c r="E156" s="8" t="str">
        <f>IFERROR(__xludf.DUMMYFUNCTION("""COMPUTED_VALUE"""),"USA")</f>
        <v>USA</v>
      </c>
      <c r="F156" s="8" t="str">
        <f>IFERROR(__xludf.DUMMYFUNCTION("""COMPUTED_VALUE"""),"WOMENS DBLS COMBO")</f>
        <v>WOMENS DBLS COMBO</v>
      </c>
      <c r="G156" s="8" t="str">
        <f>IFERROR(__xludf.DUMMYFUNCTION("""COMPUTED_VALUE"""),"3RD")</f>
        <v>3RD</v>
      </c>
      <c r="H156" s="8" t="str">
        <f>IFERROR(__xludf.DUMMYFUNCTION("""COMPUTED_VALUE"""),"SC REGIONAL BS 36")</f>
        <v>SC REGIONAL BS 36</v>
      </c>
      <c r="I156" s="9">
        <f>IFERROR(__xludf.DUMMYFUNCTION("""COMPUTED_VALUE"""),44713.0)</f>
        <v>44713</v>
      </c>
      <c r="J156" s="9">
        <f>IFERROR(__xludf.DUMMYFUNCTION("""COMPUTED_VALUE"""),45809.0)</f>
        <v>45809</v>
      </c>
      <c r="K156" s="10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7" t="str">
        <f>IFERROR(__xludf.DUMMYFUNCTION("""COMPUTED_VALUE"""),"PARSONS")</f>
        <v>PARSONS</v>
      </c>
      <c r="B157" s="8" t="str">
        <f>IFERROR(__xludf.DUMMYFUNCTION("""COMPUTED_VALUE"""),"LISA")</f>
        <v>LISA</v>
      </c>
      <c r="C157" s="8" t="str">
        <f>IFERROR(__xludf.DUMMYFUNCTION("""COMPUTED_VALUE"""),"WARRENSBURG")</f>
        <v>WARRENSBURG</v>
      </c>
      <c r="D157" s="8" t="str">
        <f>IFERROR(__xludf.DUMMYFUNCTION("""COMPUTED_VALUE"""),"MO")</f>
        <v>MO</v>
      </c>
      <c r="E157" s="8" t="str">
        <f>IFERROR(__xludf.DUMMYFUNCTION("""COMPUTED_VALUE"""),"USA")</f>
        <v>USA</v>
      </c>
      <c r="F157" s="8" t="str">
        <f>IFERROR(__xludf.DUMMYFUNCTION("""COMPUTED_VALUE"""),"WOMENS DBLS 301")</f>
        <v>WOMENS DBLS 301</v>
      </c>
      <c r="G157" s="8" t="str">
        <f>IFERROR(__xludf.DUMMYFUNCTION("""COMPUTED_VALUE"""),"4TH")</f>
        <v>4TH</v>
      </c>
      <c r="H157" s="8" t="str">
        <f>IFERROR(__xludf.DUMMYFUNCTION("""COMPUTED_VALUE"""),"BULLSHOOTER 36 FINALS")</f>
        <v>BULLSHOOTER 36 FINALS</v>
      </c>
      <c r="I157" s="9">
        <f>IFERROR(__xludf.DUMMYFUNCTION("""COMPUTED_VALUE"""),44713.0)</f>
        <v>44713</v>
      </c>
      <c r="J157" s="9">
        <f>IFERROR(__xludf.DUMMYFUNCTION("""COMPUTED_VALUE"""),45809.0)</f>
        <v>45809</v>
      </c>
      <c r="K157" s="10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7" t="str">
        <f>IFERROR(__xludf.DUMMYFUNCTION("""COMPUTED_VALUE"""),"Persun")</f>
        <v>Persun</v>
      </c>
      <c r="B158" s="8" t="str">
        <f>IFERROR(__xludf.DUMMYFUNCTION("""COMPUTED_VALUE"""),"Madison")</f>
        <v>Madison</v>
      </c>
      <c r="C158" s="8" t="str">
        <f>IFERROR(__xludf.DUMMYFUNCTION("""COMPUTED_VALUE"""),"Fort Mill")</f>
        <v>Fort Mill</v>
      </c>
      <c r="D158" s="8" t="str">
        <f>IFERROR(__xludf.DUMMYFUNCTION("""COMPUTED_VALUE"""),"SC")</f>
        <v>SC</v>
      </c>
      <c r="E158" s="8" t="str">
        <f>IFERROR(__xludf.DUMMYFUNCTION("""COMPUTED_VALUE"""),"USA")</f>
        <v>USA</v>
      </c>
      <c r="F158" s="8" t="str">
        <f>IFERROR(__xludf.DUMMYFUNCTION("""COMPUTED_VALUE"""),"WOMENS DBLS COMBO")</f>
        <v>WOMENS DBLS COMBO</v>
      </c>
      <c r="G158" s="8" t="str">
        <f>IFERROR(__xludf.DUMMYFUNCTION("""COMPUTED_VALUE"""),"3RD")</f>
        <v>3RD</v>
      </c>
      <c r="H158" s="8" t="str">
        <f>IFERROR(__xludf.DUMMYFUNCTION("""COMPUTED_VALUE"""),"SC REGIONAL BS 36")</f>
        <v>SC REGIONAL BS 36</v>
      </c>
      <c r="I158" s="9">
        <f>IFERROR(__xludf.DUMMYFUNCTION("""COMPUTED_VALUE"""),44713.0)</f>
        <v>44713</v>
      </c>
      <c r="J158" s="9">
        <f>IFERROR(__xludf.DUMMYFUNCTION("""COMPUTED_VALUE"""),45809.0)</f>
        <v>45809</v>
      </c>
      <c r="K158" s="10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7" t="str">
        <f>IFERROR(__xludf.DUMMYFUNCTION("""COMPUTED_VALUE"""),"Peterson")</f>
        <v>Peterson</v>
      </c>
      <c r="B159" s="8" t="str">
        <f>IFERROR(__xludf.DUMMYFUNCTION("""COMPUTED_VALUE"""),"Sharon")</f>
        <v>Sharon</v>
      </c>
      <c r="C159" s="8"/>
      <c r="D159" s="8"/>
      <c r="E159" s="8" t="str">
        <f>IFERROR(__xludf.DUMMYFUNCTION("""COMPUTED_VALUE"""),"USA")</f>
        <v>USA</v>
      </c>
      <c r="F159" s="8"/>
      <c r="G159" s="8"/>
      <c r="H159" s="8" t="str">
        <f>IFERROR(__xludf.DUMMYFUNCTION("""COMPUTED_VALUE"""),"ADO Top 25 2020")</f>
        <v>ADO Top 25 2020</v>
      </c>
      <c r="I159" s="9">
        <f>IFERROR(__xludf.DUMMYFUNCTION("""COMPUTED_VALUE"""),44348.0)</f>
        <v>44348</v>
      </c>
      <c r="J159" s="9">
        <f>IFERROR(__xludf.DUMMYFUNCTION("""COMPUTED_VALUE"""),46539.0)</f>
        <v>46539</v>
      </c>
      <c r="K159" s="1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11" t="str">
        <f>IFERROR(__xludf.DUMMYFUNCTION("""COMPUTED_VALUE"""),"PETRALI")</f>
        <v>PETRALI</v>
      </c>
      <c r="B160" s="12" t="str">
        <f>IFERROR(__xludf.DUMMYFUNCTION("""COMPUTED_VALUE"""),"MADISON")</f>
        <v>MADISON</v>
      </c>
      <c r="C160" s="12" t="str">
        <f>IFERROR(__xludf.DUMMYFUNCTION("""COMPUTED_VALUE"""),"OMAHA")</f>
        <v>OMAHA</v>
      </c>
      <c r="D160" s="12" t="str">
        <f>IFERROR(__xludf.DUMMYFUNCTION("""COMPUTED_VALUE"""),"NE")</f>
        <v>NE</v>
      </c>
      <c r="E160" s="12" t="str">
        <f>IFERROR(__xludf.DUMMYFUNCTION("""COMPUTED_VALUE"""),"USA")</f>
        <v>USA</v>
      </c>
      <c r="F160" s="12" t="str">
        <f>IFERROR(__xludf.DUMMYFUNCTION("""COMPUTED_VALUE"""),"WOMEN SINGLES")</f>
        <v>WOMEN SINGLES</v>
      </c>
      <c r="G160" s="12" t="str">
        <f>IFERROR(__xludf.DUMMYFUNCTION("""COMPUTED_VALUE"""),"2")</f>
        <v>2</v>
      </c>
      <c r="H160" s="12" t="str">
        <f>IFERROR(__xludf.DUMMYFUNCTION("""COMPUTED_VALUE"""),"BS 37 NE")</f>
        <v>BS 37 NE</v>
      </c>
      <c r="I160" s="14">
        <f>IFERROR(__xludf.DUMMYFUNCTION("""COMPUTED_VALUE"""),45078.0)</f>
        <v>45078</v>
      </c>
      <c r="J160" s="14">
        <f>IFERROR(__xludf.DUMMYFUNCTION("""COMPUTED_VALUE"""),46174.0)</f>
        <v>46174</v>
      </c>
      <c r="K160" s="1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7" t="str">
        <f>IFERROR(__xludf.DUMMYFUNCTION("""COMPUTED_VALUE"""),"PHARES")</f>
        <v>PHARES</v>
      </c>
      <c r="B161" s="8" t="str">
        <f>IFERROR(__xludf.DUMMYFUNCTION("""COMPUTED_VALUE"""),"JENINIFER")</f>
        <v>JENINIFER</v>
      </c>
      <c r="C161" s="8" t="str">
        <f>IFERROR(__xludf.DUMMYFUNCTION("""COMPUTED_VALUE"""),"INDIANAPOLIS")</f>
        <v>INDIANAPOLIS</v>
      </c>
      <c r="D161" s="8" t="str">
        <f>IFERROR(__xludf.DUMMYFUNCTION("""COMPUTED_VALUE"""),"IN")</f>
        <v>IN</v>
      </c>
      <c r="E161" s="8" t="str">
        <f>IFERROR(__xludf.DUMMYFUNCTION("""COMPUTED_VALUE"""),"USA")</f>
        <v>USA</v>
      </c>
      <c r="F161" s="8" t="str">
        <f>IFERROR(__xludf.DUMMYFUNCTION("""COMPUTED_VALUE"""),"WOMENS B DBLS CRICKET")</f>
        <v>WOMENS B DBLS CRICKET</v>
      </c>
      <c r="G161" s="8" t="str">
        <f>IFERROR(__xludf.DUMMYFUNCTION("""COMPUTED_VALUE"""),"4TH")</f>
        <v>4TH</v>
      </c>
      <c r="H161" s="8" t="str">
        <f>IFERROR(__xludf.DUMMYFUNCTION("""COMPUTED_VALUE"""),"BULLSHOOTER 36 FINALS")</f>
        <v>BULLSHOOTER 36 FINALS</v>
      </c>
      <c r="I161" s="9">
        <f>IFERROR(__xludf.DUMMYFUNCTION("""COMPUTED_VALUE"""),44713.0)</f>
        <v>44713</v>
      </c>
      <c r="J161" s="9">
        <f>IFERROR(__xludf.DUMMYFUNCTION("""COMPUTED_VALUE"""),45809.0)</f>
        <v>45809</v>
      </c>
      <c r="K161" s="10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7" t="str">
        <f>IFERROR(__xludf.DUMMYFUNCTION("""COMPUTED_VALUE"""),"PIERSING")</f>
        <v>PIERSING</v>
      </c>
      <c r="B162" s="8" t="str">
        <f>IFERROR(__xludf.DUMMYFUNCTION("""COMPUTED_VALUE"""),"CHRISTINA")</f>
        <v>CHRISTINA</v>
      </c>
      <c r="C162" s="8" t="str">
        <f>IFERROR(__xludf.DUMMYFUNCTION("""COMPUTED_VALUE"""),"MEMPHIS")</f>
        <v>MEMPHIS</v>
      </c>
      <c r="D162" s="8" t="str">
        <f>IFERROR(__xludf.DUMMYFUNCTION("""COMPUTED_VALUE"""),"TN")</f>
        <v>TN</v>
      </c>
      <c r="E162" s="8" t="str">
        <f>IFERROR(__xludf.DUMMYFUNCTION("""COMPUTED_VALUE"""),"USA")</f>
        <v>USA</v>
      </c>
      <c r="F162" s="8" t="str">
        <f>IFERROR(__xludf.DUMMYFUNCTION("""COMPUTED_VALUE"""),"WOMEN SINGLES COMBO")</f>
        <v>WOMEN SINGLES COMBO</v>
      </c>
      <c r="G162" s="8" t="str">
        <f>IFERROR(__xludf.DUMMYFUNCTION("""COMPUTED_VALUE"""),"1ST")</f>
        <v>1ST</v>
      </c>
      <c r="H162" s="8" t="str">
        <f>IFERROR(__xludf.DUMMYFUNCTION("""COMPUTED_VALUE"""),"TN REGIONAL BS 38")</f>
        <v>TN REGIONAL BS 38</v>
      </c>
      <c r="I162" s="9">
        <f>IFERROR(__xludf.DUMMYFUNCTION("""COMPUTED_VALUE"""),45444.0)</f>
        <v>45444</v>
      </c>
      <c r="J162" s="9">
        <f>IFERROR(__xludf.DUMMYFUNCTION("""COMPUTED_VALUE"""),46539.0)</f>
        <v>46539</v>
      </c>
      <c r="K162" s="10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7" t="str">
        <f>IFERROR(__xludf.DUMMYFUNCTION("""COMPUTED_VALUE"""),"PIPPIN")</f>
        <v>PIPPIN</v>
      </c>
      <c r="B163" s="8" t="str">
        <f>IFERROR(__xludf.DUMMYFUNCTION("""COMPUTED_VALUE"""),"CASANDRA")</f>
        <v>CASANDRA</v>
      </c>
      <c r="C163" s="8" t="str">
        <f>IFERROR(__xludf.DUMMYFUNCTION("""COMPUTED_VALUE"""),"JB ANDREWS")</f>
        <v>JB ANDREWS</v>
      </c>
      <c r="D163" s="8" t="str">
        <f>IFERROR(__xludf.DUMMYFUNCTION("""COMPUTED_VALUE"""),"MD")</f>
        <v>MD</v>
      </c>
      <c r="E163" s="8" t="str">
        <f>IFERROR(__xludf.DUMMYFUNCTION("""COMPUTED_VALUE"""),"USA")</f>
        <v>USA</v>
      </c>
      <c r="F163" s="8" t="str">
        <f>IFERROR(__xludf.DUMMYFUNCTION("""COMPUTED_VALUE"""),"WOMENS DBLS 301")</f>
        <v>WOMENS DBLS 301</v>
      </c>
      <c r="G163" s="8" t="str">
        <f>IFERROR(__xludf.DUMMYFUNCTION("""COMPUTED_VALUE"""),"3RD")</f>
        <v>3RD</v>
      </c>
      <c r="H163" s="8" t="str">
        <f>IFERROR(__xludf.DUMMYFUNCTION("""COMPUTED_VALUE"""),"SC REGIONAL BS 36")</f>
        <v>SC REGIONAL BS 36</v>
      </c>
      <c r="I163" s="9">
        <f>IFERROR(__xludf.DUMMYFUNCTION("""COMPUTED_VALUE"""),44713.0)</f>
        <v>44713</v>
      </c>
      <c r="J163" s="9">
        <f>IFERROR(__xludf.DUMMYFUNCTION("""COMPUTED_VALUE"""),45809.0)</f>
        <v>45809</v>
      </c>
      <c r="K163" s="10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7" t="str">
        <f>IFERROR(__xludf.DUMMYFUNCTION("""COMPUTED_VALUE"""),"PODRAZA")</f>
        <v>PODRAZA</v>
      </c>
      <c r="B164" s="8" t="str">
        <f>IFERROR(__xludf.DUMMYFUNCTION("""COMPUTED_VALUE"""),"KATHY")</f>
        <v>KATHY</v>
      </c>
      <c r="C164" s="8" t="str">
        <f>IFERROR(__xludf.DUMMYFUNCTION("""COMPUTED_VALUE"""),"CYPRESS")</f>
        <v>CYPRESS</v>
      </c>
      <c r="D164" s="8" t="str">
        <f>IFERROR(__xludf.DUMMYFUNCTION("""COMPUTED_VALUE"""),"TX")</f>
        <v>TX</v>
      </c>
      <c r="E164" s="8" t="str">
        <f>IFERROR(__xludf.DUMMYFUNCTION("""COMPUTED_VALUE"""),"USA")</f>
        <v>USA</v>
      </c>
      <c r="F164" s="8" t="str">
        <f>IFERROR(__xludf.DUMMYFUNCTION("""COMPUTED_VALUE"""),"WOMENS 301 DBLS")</f>
        <v>WOMENS 301 DBLS</v>
      </c>
      <c r="G164" s="8" t="str">
        <f>IFERROR(__xludf.DUMMYFUNCTION("""COMPUTED_VALUE"""),"2")</f>
        <v>2</v>
      </c>
      <c r="H164" s="8" t="str">
        <f>IFERROR(__xludf.DUMMYFUNCTION("""COMPUTED_VALUE"""),"BS 37 TX")</f>
        <v>BS 37 TX</v>
      </c>
      <c r="I164" s="9">
        <f>IFERROR(__xludf.DUMMYFUNCTION("""COMPUTED_VALUE"""),45078.0)</f>
        <v>45078</v>
      </c>
      <c r="J164" s="9">
        <f>IFERROR(__xludf.DUMMYFUNCTION("""COMPUTED_VALUE"""),46174.0)</f>
        <v>46174</v>
      </c>
      <c r="K164" s="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7" t="str">
        <f>IFERROR(__xludf.DUMMYFUNCTION("""COMPUTED_VALUE"""),"POHLMAN")</f>
        <v>POHLMAN</v>
      </c>
      <c r="B165" s="8" t="str">
        <f>IFERROR(__xludf.DUMMYFUNCTION("""COMPUTED_VALUE"""),"LORA")</f>
        <v>LORA</v>
      </c>
      <c r="C165" s="8" t="str">
        <f>IFERROR(__xludf.DUMMYFUNCTION("""COMPUTED_VALUE"""),"GODFREY")</f>
        <v>GODFREY</v>
      </c>
      <c r="D165" s="8" t="str">
        <f>IFERROR(__xludf.DUMMYFUNCTION("""COMPUTED_VALUE"""),"IL")</f>
        <v>IL</v>
      </c>
      <c r="E165" s="8" t="str">
        <f>IFERROR(__xludf.DUMMYFUNCTION("""COMPUTED_VALUE"""),"USA")</f>
        <v>USA</v>
      </c>
      <c r="F165" s="8" t="str">
        <f>IFERROR(__xludf.DUMMYFUNCTION("""COMPUTED_VALUE"""),"WOMEN B COMBO LUCK")</f>
        <v>WOMEN B COMBO LUCK</v>
      </c>
      <c r="G165" s="8" t="str">
        <f>IFERROR(__xludf.DUMMYFUNCTION("""COMPUTED_VALUE"""),"2")</f>
        <v>2</v>
      </c>
      <c r="H165" s="8" t="str">
        <f>IFERROR(__xludf.DUMMYFUNCTION("""COMPUTED_VALUE"""),"BS 37 FINALS")</f>
        <v>BS 37 FINALS</v>
      </c>
      <c r="I165" s="9">
        <f>IFERROR(__xludf.DUMMYFUNCTION("""COMPUTED_VALUE"""),45078.0)</f>
        <v>45078</v>
      </c>
      <c r="J165" s="9">
        <f>IFERROR(__xludf.DUMMYFUNCTION("""COMPUTED_VALUE"""),46174.0)</f>
        <v>46174</v>
      </c>
      <c r="K165" s="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7" t="str">
        <f>IFERROR(__xludf.DUMMYFUNCTION("""COMPUTED_VALUE"""),"Preciado")</f>
        <v>Preciado</v>
      </c>
      <c r="B166" s="8" t="str">
        <f>IFERROR(__xludf.DUMMYFUNCTION("""COMPUTED_VALUE"""),"Stitches")</f>
        <v>Stitches</v>
      </c>
      <c r="C166" s="8"/>
      <c r="D166" s="8"/>
      <c r="E166" s="8"/>
      <c r="F166" s="8" t="str">
        <f>IFERROR(__xludf.DUMMYFUNCTION("""COMPUTED_VALUE"""),"ADO Top 10 2021")</f>
        <v>ADO Top 10 2021</v>
      </c>
      <c r="G166" s="8"/>
      <c r="H166" s="8"/>
      <c r="I166" s="9">
        <f>IFERROR(__xludf.DUMMYFUNCTION("""COMPUTED_VALUE"""),44348.0)</f>
        <v>44348</v>
      </c>
      <c r="J166" s="9">
        <f>IFERROR(__xludf.DUMMYFUNCTION("""COMPUTED_VALUE"""),46539.0)</f>
        <v>46539</v>
      </c>
      <c r="K166" s="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7" t="str">
        <f>IFERROR(__xludf.DUMMYFUNCTION("""COMPUTED_VALUE"""),"PRICE")</f>
        <v>PRICE</v>
      </c>
      <c r="B167" s="8" t="str">
        <f>IFERROR(__xludf.DUMMYFUNCTION("""COMPUTED_VALUE"""),"MORGAN")</f>
        <v>MORGAN</v>
      </c>
      <c r="C167" s="8" t="str">
        <f>IFERROR(__xludf.DUMMYFUNCTION("""COMPUTED_VALUE"""),"BELLFLOWER")</f>
        <v>BELLFLOWER</v>
      </c>
      <c r="D167" s="8" t="str">
        <f>IFERROR(__xludf.DUMMYFUNCTION("""COMPUTED_VALUE"""),"CA")</f>
        <v>CA</v>
      </c>
      <c r="E167" s="8" t="str">
        <f>IFERROR(__xludf.DUMMYFUNCTION("""COMPUTED_VALUE"""),"USA")</f>
        <v>USA</v>
      </c>
      <c r="F167" s="8" t="str">
        <f>IFERROR(__xludf.DUMMYFUNCTION("""COMPUTED_VALUE"""),"WOMENS 301 DBLS")</f>
        <v>WOMENS 301 DBLS</v>
      </c>
      <c r="G167" s="8" t="str">
        <f>IFERROR(__xludf.DUMMYFUNCTION("""COMPUTED_VALUE"""),"3")</f>
        <v>3</v>
      </c>
      <c r="H167" s="8" t="str">
        <f>IFERROR(__xludf.DUMMYFUNCTION("""COMPUTED_VALUE"""),"BS 37 OH")</f>
        <v>BS 37 OH</v>
      </c>
      <c r="I167" s="9">
        <f>IFERROR(__xludf.DUMMYFUNCTION("""COMPUTED_VALUE"""),45078.0)</f>
        <v>45078</v>
      </c>
      <c r="J167" s="9">
        <f>IFERROR(__xludf.DUMMYFUNCTION("""COMPUTED_VALUE"""),46174.0)</f>
        <v>46174</v>
      </c>
      <c r="K167" s="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7" t="str">
        <f>IFERROR(__xludf.DUMMYFUNCTION("""COMPUTED_VALUE"""),"PRIDE")</f>
        <v>PRIDE</v>
      </c>
      <c r="B168" s="8" t="str">
        <f>IFERROR(__xludf.DUMMYFUNCTION("""COMPUTED_VALUE"""),"BRITTNEY")</f>
        <v>BRITTNEY</v>
      </c>
      <c r="C168" s="8" t="str">
        <f>IFERROR(__xludf.DUMMYFUNCTION("""COMPUTED_VALUE"""),"BEAVER DAM")</f>
        <v>BEAVER DAM</v>
      </c>
      <c r="D168" s="8" t="str">
        <f>IFERROR(__xludf.DUMMYFUNCTION("""COMPUTED_VALUE"""),"WI")</f>
        <v>WI</v>
      </c>
      <c r="E168" s="8" t="str">
        <f>IFERROR(__xludf.DUMMYFUNCTION("""COMPUTED_VALUE"""),"USA")</f>
        <v>USA</v>
      </c>
      <c r="F168" s="8" t="str">
        <f>IFERROR(__xludf.DUMMYFUNCTION("""COMPUTED_VALUE"""),"WOMENS DBLS 301")</f>
        <v>WOMENS DBLS 301</v>
      </c>
      <c r="G168" s="8" t="str">
        <f>IFERROR(__xludf.DUMMYFUNCTION("""COMPUTED_VALUE"""),"3RD")</f>
        <v>3RD</v>
      </c>
      <c r="H168" s="8" t="str">
        <f>IFERROR(__xludf.DUMMYFUNCTION("""COMPUTED_VALUE"""),"BULLSHOOTER 36 FINALS")</f>
        <v>BULLSHOOTER 36 FINALS</v>
      </c>
      <c r="I168" s="9">
        <f>IFERROR(__xludf.DUMMYFUNCTION("""COMPUTED_VALUE"""),44713.0)</f>
        <v>44713</v>
      </c>
      <c r="J168" s="9">
        <f>IFERROR(__xludf.DUMMYFUNCTION("""COMPUTED_VALUE"""),45809.0)</f>
        <v>45809</v>
      </c>
      <c r="K168" s="10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7" t="str">
        <f>IFERROR(__xludf.DUMMYFUNCTION("""COMPUTED_VALUE"""),"PULIDO")</f>
        <v>PULIDO</v>
      </c>
      <c r="B169" s="8" t="str">
        <f>IFERROR(__xludf.DUMMYFUNCTION("""COMPUTED_VALUE"""),"SOFIA")</f>
        <v>SOFIA</v>
      </c>
      <c r="C169" s="8" t="str">
        <f>IFERROR(__xludf.DUMMYFUNCTION("""COMPUTED_VALUE"""),"LONDON")</f>
        <v>LONDON</v>
      </c>
      <c r="D169" s="8" t="str">
        <f>IFERROR(__xludf.DUMMYFUNCTION("""COMPUTED_VALUE"""),"WI")</f>
        <v>WI</v>
      </c>
      <c r="E169" s="8" t="str">
        <f>IFERROR(__xludf.DUMMYFUNCTION("""COMPUTED_VALUE"""),"USA")</f>
        <v>USA</v>
      </c>
      <c r="F169" s="8" t="str">
        <f>IFERROR(__xludf.DUMMYFUNCTION("""COMPUTED_VALUE"""),"WOMEN B COMBO LUCK")</f>
        <v>WOMEN B COMBO LUCK</v>
      </c>
      <c r="G169" s="8" t="str">
        <f>IFERROR(__xludf.DUMMYFUNCTION("""COMPUTED_VALUE"""),"4TH")</f>
        <v>4TH</v>
      </c>
      <c r="H169" s="8" t="str">
        <f>IFERROR(__xludf.DUMMYFUNCTION("""COMPUTED_VALUE"""),"BS 38 FINALS")</f>
        <v>BS 38 FINALS</v>
      </c>
      <c r="I169" s="9">
        <f>IFERROR(__xludf.DUMMYFUNCTION("""COMPUTED_VALUE"""),45444.0)</f>
        <v>45444</v>
      </c>
      <c r="J169" s="9">
        <f>IFERROR(__xludf.DUMMYFUNCTION("""COMPUTED_VALUE"""),46539.0)</f>
        <v>46539</v>
      </c>
      <c r="K169" s="1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7" t="str">
        <f>IFERROR(__xludf.DUMMYFUNCTION("""COMPUTED_VALUE"""),"QUALLS")</f>
        <v>QUALLS</v>
      </c>
      <c r="B170" s="8" t="str">
        <f>IFERROR(__xludf.DUMMYFUNCTION("""COMPUTED_VALUE"""),"KATEY")</f>
        <v>KATEY</v>
      </c>
      <c r="C170" s="8" t="str">
        <f>IFERROR(__xludf.DUMMYFUNCTION("""COMPUTED_VALUE"""),"SPRING")</f>
        <v>SPRING</v>
      </c>
      <c r="D170" s="8" t="str">
        <f>IFERROR(__xludf.DUMMYFUNCTION("""COMPUTED_VALUE"""),"TX")</f>
        <v>TX</v>
      </c>
      <c r="E170" s="8" t="str">
        <f>IFERROR(__xludf.DUMMYFUNCTION("""COMPUTED_VALUE"""),"USA")</f>
        <v>USA</v>
      </c>
      <c r="F170" s="8" t="str">
        <f>IFERROR(__xludf.DUMMYFUNCTION("""COMPUTED_VALUE"""),"WOMENS 301 DBLS")</f>
        <v>WOMENS 301 DBLS</v>
      </c>
      <c r="G170" s="8" t="str">
        <f>IFERROR(__xludf.DUMMYFUNCTION("""COMPUTED_VALUE"""),"1")</f>
        <v>1</v>
      </c>
      <c r="H170" s="8" t="str">
        <f>IFERROR(__xludf.DUMMYFUNCTION("""COMPUTED_VALUE"""),"BS 37 TX")</f>
        <v>BS 37 TX</v>
      </c>
      <c r="I170" s="9">
        <f>IFERROR(__xludf.DUMMYFUNCTION("""COMPUTED_VALUE"""),45078.0)</f>
        <v>45078</v>
      </c>
      <c r="J170" s="9">
        <f>IFERROR(__xludf.DUMMYFUNCTION("""COMPUTED_VALUE"""),46174.0)</f>
        <v>46174</v>
      </c>
      <c r="K170" s="1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7" t="str">
        <f>IFERROR(__xludf.DUMMYFUNCTION("""COMPUTED_VALUE"""),"Quan")</f>
        <v>Quan</v>
      </c>
      <c r="B171" s="8" t="str">
        <f>IFERROR(__xludf.DUMMYFUNCTION("""COMPUTED_VALUE"""),"Teresa")</f>
        <v>Teresa</v>
      </c>
      <c r="C171" s="8"/>
      <c r="D171" s="8"/>
      <c r="E171" s="8" t="str">
        <f>IFERROR(__xludf.DUMMYFUNCTION("""COMPUTED_VALUE"""),"USA")</f>
        <v>USA</v>
      </c>
      <c r="F171" s="8"/>
      <c r="G171" s="8"/>
      <c r="H171" s="8" t="str">
        <f>IFERROR(__xludf.DUMMYFUNCTION("""COMPUTED_VALUE"""),"ADO Top 25 2020")</f>
        <v>ADO Top 25 2020</v>
      </c>
      <c r="I171" s="9">
        <f>IFERROR(__xludf.DUMMYFUNCTION("""COMPUTED_VALUE"""),44348.0)</f>
        <v>44348</v>
      </c>
      <c r="J171" s="9">
        <f>IFERROR(__xludf.DUMMYFUNCTION("""COMPUTED_VALUE"""),46539.0)</f>
        <v>46539</v>
      </c>
      <c r="K171" s="10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11" t="str">
        <f>IFERROR(__xludf.DUMMYFUNCTION("""COMPUTED_VALUE"""),"Rasor")</f>
        <v>Rasor</v>
      </c>
      <c r="B172" s="12" t="str">
        <f>IFERROR(__xludf.DUMMYFUNCTION("""COMPUTED_VALUE"""),"Elisha")</f>
        <v>Elisha</v>
      </c>
      <c r="C172" s="12" t="str">
        <f>IFERROR(__xludf.DUMMYFUNCTION("""COMPUTED_VALUE"""),"Oshkosh")</f>
        <v>Oshkosh</v>
      </c>
      <c r="D172" s="12" t="str">
        <f>IFERROR(__xludf.DUMMYFUNCTION("""COMPUTED_VALUE"""),"WI")</f>
        <v>WI</v>
      </c>
      <c r="E172" s="12" t="str">
        <f>IFERROR(__xludf.DUMMYFUNCTION("""COMPUTED_VALUE"""),"USA")</f>
        <v>USA</v>
      </c>
      <c r="F172" s="12" t="str">
        <f>IFERROR(__xludf.DUMMYFUNCTION("""COMPUTED_VALUE"""),"Women A Cricket Doubles")</f>
        <v>Women A Cricket Doubles</v>
      </c>
      <c r="G172" s="12" t="str">
        <f>IFERROR(__xludf.DUMMYFUNCTION("""COMPUTED_VALUE"""),"1st")</f>
        <v>1st</v>
      </c>
      <c r="H172" s="12" t="str">
        <f>IFERROR(__xludf.DUMMYFUNCTION("""COMPUTED_VALUE"""),"BullShooter 34 Finals")</f>
        <v>BullShooter 34 Finals</v>
      </c>
      <c r="I172" s="14">
        <f>IFERROR(__xludf.DUMMYFUNCTION("""COMPUTED_VALUE"""),43617.0)</f>
        <v>43617</v>
      </c>
      <c r="J172" s="14">
        <f>IFERROR(__xludf.DUMMYFUNCTION("""COMPUTED_VALUE"""),45809.0)</f>
        <v>45809</v>
      </c>
      <c r="K172" s="10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7" t="str">
        <f>IFERROR(__xludf.DUMMYFUNCTION("""COMPUTED_VALUE"""),"Raymond")</f>
        <v>Raymond</v>
      </c>
      <c r="B173" s="8" t="str">
        <f>IFERROR(__xludf.DUMMYFUNCTION("""COMPUTED_VALUE"""),"Lorelei")</f>
        <v>Lorelei</v>
      </c>
      <c r="C173" s="8" t="str">
        <f>IFERROR(__xludf.DUMMYFUNCTION("""COMPUTED_VALUE"""),"San Mateo")</f>
        <v>San Mateo</v>
      </c>
      <c r="D173" s="8" t="str">
        <f>IFERROR(__xludf.DUMMYFUNCTION("""COMPUTED_VALUE"""),"FL")</f>
        <v>FL</v>
      </c>
      <c r="E173" s="8" t="str">
        <f>IFERROR(__xludf.DUMMYFUNCTION("""COMPUTED_VALUE"""),"USA")</f>
        <v>USA</v>
      </c>
      <c r="F173" s="8" t="str">
        <f>IFERROR(__xludf.DUMMYFUNCTION("""COMPUTED_VALUE"""),"WOMENS DBLS 301")</f>
        <v>WOMENS DBLS 301</v>
      </c>
      <c r="G173" s="8" t="str">
        <f>IFERROR(__xludf.DUMMYFUNCTION("""COMPUTED_VALUE"""),"3rd")</f>
        <v>3rd</v>
      </c>
      <c r="H173" s="8" t="str">
        <f>IFERROR(__xludf.DUMMYFUNCTION("""COMPUTED_VALUE"""),"FL REGIONAL BS 36")</f>
        <v>FL REGIONAL BS 36</v>
      </c>
      <c r="I173" s="9">
        <f>IFERROR(__xludf.DUMMYFUNCTION("""COMPUTED_VALUE"""),44713.0)</f>
        <v>44713</v>
      </c>
      <c r="J173" s="9">
        <f>IFERROR(__xludf.DUMMYFUNCTION("""COMPUTED_VALUE"""),45809.0)</f>
        <v>45809</v>
      </c>
      <c r="K173" s="10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7" t="str">
        <f>IFERROR(__xludf.DUMMYFUNCTION("""COMPUTED_VALUE"""),"RAYMOND")</f>
        <v>RAYMOND</v>
      </c>
      <c r="B174" s="8" t="str">
        <f>IFERROR(__xludf.DUMMYFUNCTION("""COMPUTED_VALUE"""),"LORELEI")</f>
        <v>LORELEI</v>
      </c>
      <c r="C174" s="8" t="str">
        <f>IFERROR(__xludf.DUMMYFUNCTION("""COMPUTED_VALUE"""),"SAN MATEO")</f>
        <v>SAN MATEO</v>
      </c>
      <c r="D174" s="8" t="str">
        <f>IFERROR(__xludf.DUMMYFUNCTION("""COMPUTED_VALUE"""),"FL")</f>
        <v>FL</v>
      </c>
      <c r="E174" s="8" t="str">
        <f>IFERROR(__xludf.DUMMYFUNCTION("""COMPUTED_VALUE"""),"USA")</f>
        <v>USA</v>
      </c>
      <c r="F174" s="8" t="str">
        <f>IFERROR(__xludf.DUMMYFUNCTION("""COMPUTED_VALUE"""),"WOMEN DBLS COMBO")</f>
        <v>WOMEN DBLS COMBO</v>
      </c>
      <c r="G174" s="8" t="str">
        <f>IFERROR(__xludf.DUMMYFUNCTION("""COMPUTED_VALUE"""),"3RD")</f>
        <v>3RD</v>
      </c>
      <c r="H174" s="8" t="str">
        <f>IFERROR(__xludf.DUMMYFUNCTION("""COMPUTED_VALUE"""),"FL REGIONAL BS 38")</f>
        <v>FL REGIONAL BS 38</v>
      </c>
      <c r="I174" s="9">
        <f>IFERROR(__xludf.DUMMYFUNCTION("""COMPUTED_VALUE"""),45444.0)</f>
        <v>45444</v>
      </c>
      <c r="J174" s="9">
        <f>IFERROR(__xludf.DUMMYFUNCTION("""COMPUTED_VALUE"""),46539.0)</f>
        <v>46539</v>
      </c>
      <c r="K174" s="1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7" t="str">
        <f>IFERROR(__xludf.DUMMYFUNCTION("""COMPUTED_VALUE"""),"REYMER")</f>
        <v>REYMER</v>
      </c>
      <c r="B175" s="8" t="str">
        <f>IFERROR(__xludf.DUMMYFUNCTION("""COMPUTED_VALUE"""),"STACY")</f>
        <v>STACY</v>
      </c>
      <c r="C175" s="8" t="str">
        <f>IFERROR(__xludf.DUMMYFUNCTION("""COMPUTED_VALUE"""),"POWELL")</f>
        <v>POWELL</v>
      </c>
      <c r="D175" s="8" t="str">
        <f>IFERROR(__xludf.DUMMYFUNCTION("""COMPUTED_VALUE"""),"TN")</f>
        <v>TN</v>
      </c>
      <c r="E175" s="8" t="str">
        <f>IFERROR(__xludf.DUMMYFUNCTION("""COMPUTED_VALUE"""),"USA")</f>
        <v>USA</v>
      </c>
      <c r="F175" s="8" t="str">
        <f>IFERROR(__xludf.DUMMYFUNCTION("""COMPUTED_VALUE"""),"WOMEN DBLS COMBO")</f>
        <v>WOMEN DBLS COMBO</v>
      </c>
      <c r="G175" s="8" t="str">
        <f>IFERROR(__xludf.DUMMYFUNCTION("""COMPUTED_VALUE"""),"2ND")</f>
        <v>2ND</v>
      </c>
      <c r="H175" s="8" t="str">
        <f>IFERROR(__xludf.DUMMYFUNCTION("""COMPUTED_VALUE"""),"TN REGIONAL BS 38")</f>
        <v>TN REGIONAL BS 38</v>
      </c>
      <c r="I175" s="9">
        <f>IFERROR(__xludf.DUMMYFUNCTION("""COMPUTED_VALUE"""),45444.0)</f>
        <v>45444</v>
      </c>
      <c r="J175" s="9">
        <f>IFERROR(__xludf.DUMMYFUNCTION("""COMPUTED_VALUE"""),46539.0)</f>
        <v>46539</v>
      </c>
      <c r="K175" s="1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7" t="str">
        <f>IFERROR(__xludf.DUMMYFUNCTION("""COMPUTED_VALUE"""),"RICHARDS")</f>
        <v>RICHARDS</v>
      </c>
      <c r="B176" s="8" t="str">
        <f>IFERROR(__xludf.DUMMYFUNCTION("""COMPUTED_VALUE"""),"CHEYENNE")</f>
        <v>CHEYENNE</v>
      </c>
      <c r="C176" s="8" t="str">
        <f>IFERROR(__xludf.DUMMYFUNCTION("""COMPUTED_VALUE"""),"CLEVELAND")</f>
        <v>CLEVELAND</v>
      </c>
      <c r="D176" s="8" t="str">
        <f>IFERROR(__xludf.DUMMYFUNCTION("""COMPUTED_VALUE"""),"TX")</f>
        <v>TX</v>
      </c>
      <c r="E176" s="8" t="str">
        <f>IFERROR(__xludf.DUMMYFUNCTION("""COMPUTED_VALUE"""),"USA")</f>
        <v>USA</v>
      </c>
      <c r="F176" s="8" t="str">
        <f>IFERROR(__xludf.DUMMYFUNCTION("""COMPUTED_VALUE"""),"WOMEN DBLS COMBO")</f>
        <v>WOMEN DBLS COMBO</v>
      </c>
      <c r="G176" s="8" t="str">
        <f>IFERROR(__xludf.DUMMYFUNCTION("""COMPUTED_VALUE"""),"1ST")</f>
        <v>1ST</v>
      </c>
      <c r="H176" s="8" t="str">
        <f>IFERROR(__xludf.DUMMYFUNCTION("""COMPUTED_VALUE"""),"TX REGIONAL BS 38")</f>
        <v>TX REGIONAL BS 38</v>
      </c>
      <c r="I176" s="9">
        <f>IFERROR(__xludf.DUMMYFUNCTION("""COMPUTED_VALUE"""),45444.0)</f>
        <v>45444</v>
      </c>
      <c r="J176" s="9">
        <f>IFERROR(__xludf.DUMMYFUNCTION("""COMPUTED_VALUE"""),46539.0)</f>
        <v>46539</v>
      </c>
      <c r="K176" s="10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7" t="str">
        <f>IFERROR(__xludf.DUMMYFUNCTION("""COMPUTED_VALUE"""),"RIEDERER")</f>
        <v>RIEDERER</v>
      </c>
      <c r="B177" s="8" t="str">
        <f>IFERROR(__xludf.DUMMYFUNCTION("""COMPUTED_VALUE"""),"NANCY")</f>
        <v>NANCY</v>
      </c>
      <c r="C177" s="8" t="str">
        <f>IFERROR(__xludf.DUMMYFUNCTION("""COMPUTED_VALUE"""),"GUTHRIE CENTER")</f>
        <v>GUTHRIE CENTER</v>
      </c>
      <c r="D177" s="8" t="str">
        <f>IFERROR(__xludf.DUMMYFUNCTION("""COMPUTED_VALUE"""),"IA")</f>
        <v>IA</v>
      </c>
      <c r="E177" s="8" t="str">
        <f>IFERROR(__xludf.DUMMYFUNCTION("""COMPUTED_VALUE"""),"USA")</f>
        <v>USA</v>
      </c>
      <c r="F177" s="8" t="str">
        <f>IFERROR(__xludf.DUMMYFUNCTION("""COMPUTED_VALUE"""),"WOMENS 301 DBLS")</f>
        <v>WOMENS 301 DBLS</v>
      </c>
      <c r="G177" s="8" t="str">
        <f>IFERROR(__xludf.DUMMYFUNCTION("""COMPUTED_VALUE"""),"2")</f>
        <v>2</v>
      </c>
      <c r="H177" s="8" t="str">
        <f>IFERROR(__xludf.DUMMYFUNCTION("""COMPUTED_VALUE"""),"BS 37 NE")</f>
        <v>BS 37 NE</v>
      </c>
      <c r="I177" s="9">
        <f>IFERROR(__xludf.DUMMYFUNCTION("""COMPUTED_VALUE"""),45078.0)</f>
        <v>45078</v>
      </c>
      <c r="J177" s="9">
        <f>IFERROR(__xludf.DUMMYFUNCTION("""COMPUTED_VALUE"""),46174.0)</f>
        <v>46174</v>
      </c>
      <c r="K177" s="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7" t="str">
        <f>IFERROR(__xludf.DUMMYFUNCTION("""COMPUTED_VALUE"""),"RIVERA")</f>
        <v>RIVERA</v>
      </c>
      <c r="B178" s="8" t="str">
        <f>IFERROR(__xludf.DUMMYFUNCTION("""COMPUTED_VALUE"""),"TIFFANY")</f>
        <v>TIFFANY</v>
      </c>
      <c r="C178" s="8" t="str">
        <f>IFERROR(__xludf.DUMMYFUNCTION("""COMPUTED_VALUE"""),"SPRING")</f>
        <v>SPRING</v>
      </c>
      <c r="D178" s="8" t="str">
        <f>IFERROR(__xludf.DUMMYFUNCTION("""COMPUTED_VALUE"""),"TX")</f>
        <v>TX</v>
      </c>
      <c r="E178" s="8" t="str">
        <f>IFERROR(__xludf.DUMMYFUNCTION("""COMPUTED_VALUE"""),"USA")</f>
        <v>USA</v>
      </c>
      <c r="F178" s="8" t="str">
        <f>IFERROR(__xludf.DUMMYFUNCTION("""COMPUTED_VALUE"""),"WOMEN DBLS 301")</f>
        <v>WOMEN DBLS 301</v>
      </c>
      <c r="G178" s="8" t="str">
        <f>IFERROR(__xludf.DUMMYFUNCTION("""COMPUTED_VALUE"""),"3RD")</f>
        <v>3RD</v>
      </c>
      <c r="H178" s="8" t="str">
        <f>IFERROR(__xludf.DUMMYFUNCTION("""COMPUTED_VALUE"""),"TX REGIONAL BS 38")</f>
        <v>TX REGIONAL BS 38</v>
      </c>
      <c r="I178" s="9">
        <f>IFERROR(__xludf.DUMMYFUNCTION("""COMPUTED_VALUE"""),45444.0)</f>
        <v>45444</v>
      </c>
      <c r="J178" s="9">
        <f>IFERROR(__xludf.DUMMYFUNCTION("""COMPUTED_VALUE"""),46539.0)</f>
        <v>46539</v>
      </c>
      <c r="K178" s="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7.25" customHeight="1">
      <c r="A179" s="7" t="str">
        <f>IFERROR(__xludf.DUMMYFUNCTION("""COMPUTED_VALUE"""),"ROBERTS")</f>
        <v>ROBERTS</v>
      </c>
      <c r="B179" s="8" t="str">
        <f>IFERROR(__xludf.DUMMYFUNCTION("""COMPUTED_VALUE"""),"ASHLEY")</f>
        <v>ASHLEY</v>
      </c>
      <c r="C179" s="8"/>
      <c r="D179" s="8"/>
      <c r="E179" s="8" t="str">
        <f>IFERROR(__xludf.DUMMYFUNCTION("""COMPUTED_VALUE"""),"USA")</f>
        <v>USA</v>
      </c>
      <c r="F179" s="8" t="str">
        <f>IFERROR(__xludf.DUMMYFUNCTION("""COMPUTED_VALUE"""),"WOMEN DBLS COMBO")</f>
        <v>WOMEN DBLS COMBO</v>
      </c>
      <c r="G179" s="8" t="str">
        <f>IFERROR(__xludf.DUMMYFUNCTION("""COMPUTED_VALUE"""),"2ND")</f>
        <v>2ND</v>
      </c>
      <c r="H179" s="8" t="str">
        <f>IFERROR(__xludf.DUMMYFUNCTION("""COMPUTED_VALUE"""),"SC REGIONAL BS 38")</f>
        <v>SC REGIONAL BS 38</v>
      </c>
      <c r="I179" s="9">
        <f>IFERROR(__xludf.DUMMYFUNCTION("""COMPUTED_VALUE"""),45444.0)</f>
        <v>45444</v>
      </c>
      <c r="J179" s="9">
        <f>IFERROR(__xludf.DUMMYFUNCTION("""COMPUTED_VALUE"""),46539.0)</f>
        <v>46539</v>
      </c>
      <c r="K179" s="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7" t="str">
        <f>IFERROR(__xludf.DUMMYFUNCTION("""COMPUTED_VALUE"""),"RODRIGUEZ")</f>
        <v>RODRIGUEZ</v>
      </c>
      <c r="B180" s="8" t="str">
        <f>IFERROR(__xludf.DUMMYFUNCTION("""COMPUTED_VALUE"""),"KRISTINA")</f>
        <v>KRISTINA</v>
      </c>
      <c r="C180" s="8" t="str">
        <f>IFERROR(__xludf.DUMMYFUNCTION("""COMPUTED_VALUE"""),"OKC")</f>
        <v>OKC</v>
      </c>
      <c r="D180" s="8" t="str">
        <f>IFERROR(__xludf.DUMMYFUNCTION("""COMPUTED_VALUE"""),"OK")</f>
        <v>OK</v>
      </c>
      <c r="E180" s="8" t="str">
        <f>IFERROR(__xludf.DUMMYFUNCTION("""COMPUTED_VALUE"""),"USA")</f>
        <v>USA</v>
      </c>
      <c r="F180" s="8" t="str">
        <f>IFERROR(__xludf.DUMMYFUNCTION("""COMPUTED_VALUE"""),"WOMEN DBLS 301")</f>
        <v>WOMEN DBLS 301</v>
      </c>
      <c r="G180" s="8" t="str">
        <f>IFERROR(__xludf.DUMMYFUNCTION("""COMPUTED_VALUE"""),"3RD")</f>
        <v>3RD</v>
      </c>
      <c r="H180" s="8" t="str">
        <f>IFERROR(__xludf.DUMMYFUNCTION("""COMPUTED_VALUE"""),"NE REGIONAL BS 38")</f>
        <v>NE REGIONAL BS 38</v>
      </c>
      <c r="I180" s="9">
        <f>IFERROR(__xludf.DUMMYFUNCTION("""COMPUTED_VALUE"""),45444.0)</f>
        <v>45444</v>
      </c>
      <c r="J180" s="9">
        <f>IFERROR(__xludf.DUMMYFUNCTION("""COMPUTED_VALUE"""),46539.0)</f>
        <v>46539</v>
      </c>
      <c r="K180" s="10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7" t="str">
        <f>IFERROR(__xludf.DUMMYFUNCTION("""COMPUTED_VALUE"""),"ROONEY")</f>
        <v>ROONEY</v>
      </c>
      <c r="B181" s="8" t="str">
        <f>IFERROR(__xludf.DUMMYFUNCTION("""COMPUTED_VALUE"""),"DANIELLE")</f>
        <v>DANIELLE</v>
      </c>
      <c r="C181" s="8" t="str">
        <f>IFERROR(__xludf.DUMMYFUNCTION("""COMPUTED_VALUE"""),"RACINE")</f>
        <v>RACINE</v>
      </c>
      <c r="D181" s="8" t="str">
        <f>IFERROR(__xludf.DUMMYFUNCTION("""COMPUTED_VALUE"""),"WI")</f>
        <v>WI</v>
      </c>
      <c r="E181" s="8" t="str">
        <f>IFERROR(__xludf.DUMMYFUNCTION("""COMPUTED_VALUE"""),"USA")</f>
        <v>USA</v>
      </c>
      <c r="F181" s="8" t="str">
        <f>IFERROR(__xludf.DUMMYFUNCTION("""COMPUTED_VALUE"""),"WOMEN B COMBO LUCK")</f>
        <v>WOMEN B COMBO LUCK</v>
      </c>
      <c r="G181" s="8" t="str">
        <f>IFERROR(__xludf.DUMMYFUNCTION("""COMPUTED_VALUE"""),"1ST")</f>
        <v>1ST</v>
      </c>
      <c r="H181" s="8" t="str">
        <f>IFERROR(__xludf.DUMMYFUNCTION("""COMPUTED_VALUE"""),"BS 38 FINALS")</f>
        <v>BS 38 FINALS</v>
      </c>
      <c r="I181" s="9">
        <f>IFERROR(__xludf.DUMMYFUNCTION("""COMPUTED_VALUE"""),45444.0)</f>
        <v>45444</v>
      </c>
      <c r="J181" s="9">
        <f>IFERROR(__xludf.DUMMYFUNCTION("""COMPUTED_VALUE"""),46539.0)</f>
        <v>46539</v>
      </c>
      <c r="K181" s="10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11" t="str">
        <f>IFERROR(__xludf.DUMMYFUNCTION("""COMPUTED_VALUE"""),"Roush")</f>
        <v>Roush</v>
      </c>
      <c r="B182" s="12" t="str">
        <f>IFERROR(__xludf.DUMMYFUNCTION("""COMPUTED_VALUE"""),"Brenda")</f>
        <v>Brenda</v>
      </c>
      <c r="C182" s="12" t="str">
        <f>IFERROR(__xludf.DUMMYFUNCTION("""COMPUTED_VALUE"""),"DENVER")</f>
        <v>DENVER</v>
      </c>
      <c r="D182" s="12" t="str">
        <f>IFERROR(__xludf.DUMMYFUNCTION("""COMPUTED_VALUE"""),"CO")</f>
        <v>CO</v>
      </c>
      <c r="E182" s="12" t="str">
        <f>IFERROR(__xludf.DUMMYFUNCTION("""COMPUTED_VALUE"""),"USA")</f>
        <v>USA</v>
      </c>
      <c r="F182" s="12" t="str">
        <f>IFERROR(__xludf.DUMMYFUNCTION("""COMPUTED_VALUE"""),"WOMENS DBLS COMBO")</f>
        <v>WOMENS DBLS COMBO</v>
      </c>
      <c r="G182" s="12" t="str">
        <f>IFERROR(__xludf.DUMMYFUNCTION("""COMPUTED_VALUE"""),"3RD")</f>
        <v>3RD</v>
      </c>
      <c r="H182" s="12" t="str">
        <f>IFERROR(__xludf.DUMMYFUNCTION("""COMPUTED_VALUE"""),"WY REGIONAL BS 36")</f>
        <v>WY REGIONAL BS 36</v>
      </c>
      <c r="I182" s="14">
        <f>IFERROR(__xludf.DUMMYFUNCTION("""COMPUTED_VALUE"""),44713.0)</f>
        <v>44713</v>
      </c>
      <c r="J182" s="14">
        <f>IFERROR(__xludf.DUMMYFUNCTION("""COMPUTED_VALUE"""),46539.0)</f>
        <v>46539</v>
      </c>
      <c r="K182" s="1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7" t="str">
        <f>IFERROR(__xludf.DUMMYFUNCTION("""COMPUTED_VALUE"""),"RUNGE")</f>
        <v>RUNGE</v>
      </c>
      <c r="B183" s="8" t="str">
        <f>IFERROR(__xludf.DUMMYFUNCTION("""COMPUTED_VALUE"""),"RITA")</f>
        <v>RITA</v>
      </c>
      <c r="C183" s="8" t="str">
        <f>IFERROR(__xludf.DUMMYFUNCTION("""COMPUTED_VALUE"""),"BELLEVUE")</f>
        <v>BELLEVUE</v>
      </c>
      <c r="D183" s="8" t="str">
        <f>IFERROR(__xludf.DUMMYFUNCTION("""COMPUTED_VALUE"""),"NE")</f>
        <v>NE</v>
      </c>
      <c r="E183" s="8" t="str">
        <f>IFERROR(__xludf.DUMMYFUNCTION("""COMPUTED_VALUE"""),"USA")</f>
        <v>USA</v>
      </c>
      <c r="F183" s="8" t="str">
        <f>IFERROR(__xludf.DUMMYFUNCTION("""COMPUTED_VALUE"""),"WOMENS DBLS 301")</f>
        <v>WOMENS DBLS 301</v>
      </c>
      <c r="G183" s="8" t="str">
        <f>IFERROR(__xludf.DUMMYFUNCTION("""COMPUTED_VALUE"""),"2ND")</f>
        <v>2ND</v>
      </c>
      <c r="H183" s="8" t="str">
        <f>IFERROR(__xludf.DUMMYFUNCTION("""COMPUTED_VALUE"""),"NE REGIONAL BS 36")</f>
        <v>NE REGIONAL BS 36</v>
      </c>
      <c r="I183" s="9">
        <f>IFERROR(__xludf.DUMMYFUNCTION("""COMPUTED_VALUE"""),44713.0)</f>
        <v>44713</v>
      </c>
      <c r="J183" s="9">
        <f>IFERROR(__xludf.DUMMYFUNCTION("""COMPUTED_VALUE"""),45809.0)</f>
        <v>45809</v>
      </c>
      <c r="K183" s="1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7" t="str">
        <f>IFERROR(__xludf.DUMMYFUNCTION("""COMPUTED_VALUE"""),"RUSSO")</f>
        <v>RUSSO</v>
      </c>
      <c r="B184" s="8" t="str">
        <f>IFERROR(__xludf.DUMMYFUNCTION("""COMPUTED_VALUE"""),"TINA")</f>
        <v>TINA</v>
      </c>
      <c r="C184" s="8" t="str">
        <f>IFERROR(__xludf.DUMMYFUNCTION("""COMPUTED_VALUE"""),"JEFFERSON HILLS")</f>
        <v>JEFFERSON HILLS</v>
      </c>
      <c r="D184" s="8" t="str">
        <f>IFERROR(__xludf.DUMMYFUNCTION("""COMPUTED_VALUE"""),"PA")</f>
        <v>PA</v>
      </c>
      <c r="E184" s="8" t="str">
        <f>IFERROR(__xludf.DUMMYFUNCTION("""COMPUTED_VALUE"""),"USA")</f>
        <v>USA</v>
      </c>
      <c r="F184" s="8" t="str">
        <f>IFERROR(__xludf.DUMMYFUNCTION("""COMPUTED_VALUE"""),"WOMEN DBLS COMBO")</f>
        <v>WOMEN DBLS COMBO</v>
      </c>
      <c r="G184" s="8" t="str">
        <f>IFERROR(__xludf.DUMMYFUNCTION("""COMPUTED_VALUE"""),"3RD")</f>
        <v>3RD</v>
      </c>
      <c r="H184" s="8" t="str">
        <f>IFERROR(__xludf.DUMMYFUNCTION("""COMPUTED_VALUE"""),"OH REGIONAL BS 38")</f>
        <v>OH REGIONAL BS 38</v>
      </c>
      <c r="I184" s="9">
        <f>IFERROR(__xludf.DUMMYFUNCTION("""COMPUTED_VALUE"""),45444.0)</f>
        <v>45444</v>
      </c>
      <c r="J184" s="9">
        <f>IFERROR(__xludf.DUMMYFUNCTION("""COMPUTED_VALUE"""),46539.0)</f>
        <v>46539</v>
      </c>
      <c r="K184" s="10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7" t="str">
        <f>IFERROR(__xludf.DUMMYFUNCTION("""COMPUTED_VALUE"""),"SASS")</f>
        <v>SASS</v>
      </c>
      <c r="B185" s="8" t="str">
        <f>IFERROR(__xludf.DUMMYFUNCTION("""COMPUTED_VALUE"""),"SARAH")</f>
        <v>SARAH</v>
      </c>
      <c r="C185" s="8" t="str">
        <f>IFERROR(__xludf.DUMMYFUNCTION("""COMPUTED_VALUE"""),"LA PORTE")</f>
        <v>LA PORTE</v>
      </c>
      <c r="D185" s="8" t="str">
        <f>IFERROR(__xludf.DUMMYFUNCTION("""COMPUTED_VALUE"""),"IN")</f>
        <v>IN</v>
      </c>
      <c r="E185" s="8" t="str">
        <f>IFERROR(__xludf.DUMMYFUNCTION("""COMPUTED_VALUE"""),"USA")</f>
        <v>USA</v>
      </c>
      <c r="F185" s="8" t="str">
        <f>IFERROR(__xludf.DUMMYFUNCTION("""COMPUTED_VALUE"""),"WOMENS DBLS 301")</f>
        <v>WOMENS DBLS 301</v>
      </c>
      <c r="G185" s="8" t="str">
        <f>IFERROR(__xludf.DUMMYFUNCTION("""COMPUTED_VALUE"""),"2ND")</f>
        <v>2ND</v>
      </c>
      <c r="H185" s="8" t="str">
        <f>IFERROR(__xludf.DUMMYFUNCTION("""COMPUTED_VALUE"""),"MI REGIONAL BS 38")</f>
        <v>MI REGIONAL BS 38</v>
      </c>
      <c r="I185" s="9">
        <f>IFERROR(__xludf.DUMMYFUNCTION("""COMPUTED_VALUE"""),45444.0)</f>
        <v>45444</v>
      </c>
      <c r="J185" s="9">
        <f>IFERROR(__xludf.DUMMYFUNCTION("""COMPUTED_VALUE"""),46539.0)</f>
        <v>46539</v>
      </c>
      <c r="K185" s="10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0.25" customHeight="1">
      <c r="A186" s="7" t="str">
        <f>IFERROR(__xludf.DUMMYFUNCTION("""COMPUTED_VALUE"""),"Scantlen")</f>
        <v>Scantlen</v>
      </c>
      <c r="B186" s="8" t="str">
        <f>IFERROR(__xludf.DUMMYFUNCTION("""COMPUTED_VALUE"""),"Cassy")</f>
        <v>Cassy</v>
      </c>
      <c r="C186" s="8"/>
      <c r="D186" s="8"/>
      <c r="E186" s="8" t="str">
        <f>IFERROR(__xludf.DUMMYFUNCTION("""COMPUTED_VALUE"""),"USA")</f>
        <v>USA</v>
      </c>
      <c r="F186" s="8"/>
      <c r="G186" s="8"/>
      <c r="H186" s="8" t="str">
        <f>IFERROR(__xludf.DUMMYFUNCTION("""COMPUTED_VALUE"""),"ADO Top 25 2020")</f>
        <v>ADO Top 25 2020</v>
      </c>
      <c r="I186" s="9">
        <f>IFERROR(__xludf.DUMMYFUNCTION("""COMPUTED_VALUE"""),44348.0)</f>
        <v>44348</v>
      </c>
      <c r="J186" s="9">
        <f>IFERROR(__xludf.DUMMYFUNCTION("""COMPUTED_VALUE"""),46539.0)</f>
        <v>46539</v>
      </c>
      <c r="K186" s="10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7" t="str">
        <f>IFERROR(__xludf.DUMMYFUNCTION("""COMPUTED_VALUE"""),"SCHMITZ")</f>
        <v>SCHMITZ</v>
      </c>
      <c r="B187" s="8" t="str">
        <f>IFERROR(__xludf.DUMMYFUNCTION("""COMPUTED_VALUE"""),"DEBRA")</f>
        <v>DEBRA</v>
      </c>
      <c r="C187" s="8" t="str">
        <f>IFERROR(__xludf.DUMMYFUNCTION("""COMPUTED_VALUE"""),"FORT COLLINS")</f>
        <v>FORT COLLINS</v>
      </c>
      <c r="D187" s="8" t="str">
        <f>IFERROR(__xludf.DUMMYFUNCTION("""COMPUTED_VALUE"""),"CO")</f>
        <v>CO</v>
      </c>
      <c r="E187" s="8" t="str">
        <f>IFERROR(__xludf.DUMMYFUNCTION("""COMPUTED_VALUE"""),"USA")</f>
        <v>USA</v>
      </c>
      <c r="F187" s="8" t="str">
        <f>IFERROR(__xludf.DUMMYFUNCTION("""COMPUTED_VALUE"""),"WOMENS DBLS 301")</f>
        <v>WOMENS DBLS 301</v>
      </c>
      <c r="G187" s="8" t="str">
        <f>IFERROR(__xludf.DUMMYFUNCTION("""COMPUTED_VALUE"""),"1ST")</f>
        <v>1ST</v>
      </c>
      <c r="H187" s="8" t="str">
        <f>IFERROR(__xludf.DUMMYFUNCTION("""COMPUTED_VALUE"""),"WY REGIONAL BS 36")</f>
        <v>WY REGIONAL BS 36</v>
      </c>
      <c r="I187" s="9">
        <f>IFERROR(__xludf.DUMMYFUNCTION("""COMPUTED_VALUE"""),44713.0)</f>
        <v>44713</v>
      </c>
      <c r="J187" s="9">
        <f>IFERROR(__xludf.DUMMYFUNCTION("""COMPUTED_VALUE"""),45809.0)</f>
        <v>45809</v>
      </c>
      <c r="K187" s="10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7" t="str">
        <f>IFERROR(__xludf.DUMMYFUNCTION("""COMPUTED_VALUE"""),"SCHUMAKER")</f>
        <v>SCHUMAKER</v>
      </c>
      <c r="B188" s="8" t="str">
        <f>IFERROR(__xludf.DUMMYFUNCTION("""COMPUTED_VALUE"""),"HEATHER")</f>
        <v>HEATHER</v>
      </c>
      <c r="C188" s="8" t="str">
        <f>IFERROR(__xludf.DUMMYFUNCTION("""COMPUTED_VALUE"""),"GLENDALE")</f>
        <v>GLENDALE</v>
      </c>
      <c r="D188" s="8" t="str">
        <f>IFERROR(__xludf.DUMMYFUNCTION("""COMPUTED_VALUE"""),"AZ")</f>
        <v>AZ</v>
      </c>
      <c r="E188" s="8" t="str">
        <f>IFERROR(__xludf.DUMMYFUNCTION("""COMPUTED_VALUE"""),"USA")</f>
        <v>USA</v>
      </c>
      <c r="F188" s="8" t="str">
        <f>IFERROR(__xludf.DUMMYFUNCTION("""COMPUTED_VALUE"""),"WOMENS DBLS COMBO")</f>
        <v>WOMENS DBLS COMBO</v>
      </c>
      <c r="G188" s="8" t="str">
        <f>IFERROR(__xludf.DUMMYFUNCTION("""COMPUTED_VALUE"""),"3RD")</f>
        <v>3RD</v>
      </c>
      <c r="H188" s="8" t="str">
        <f>IFERROR(__xludf.DUMMYFUNCTION("""COMPUTED_VALUE"""),"AZ REGIONAL BS 36")</f>
        <v>AZ REGIONAL BS 36</v>
      </c>
      <c r="I188" s="9">
        <f>IFERROR(__xludf.DUMMYFUNCTION("""COMPUTED_VALUE"""),44713.0)</f>
        <v>44713</v>
      </c>
      <c r="J188" s="9">
        <f>IFERROR(__xludf.DUMMYFUNCTION("""COMPUTED_VALUE"""),45809.0)</f>
        <v>45809</v>
      </c>
      <c r="K188" s="10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7" t="str">
        <f>IFERROR(__xludf.DUMMYFUNCTION("""COMPUTED_VALUE"""),"SHELTON")</f>
        <v>SHELTON</v>
      </c>
      <c r="B189" s="8" t="str">
        <f>IFERROR(__xludf.DUMMYFUNCTION("""COMPUTED_VALUE"""),"DENISE")</f>
        <v>DENISE</v>
      </c>
      <c r="C189" s="8" t="str">
        <f>IFERROR(__xludf.DUMMYFUNCTION("""COMPUTED_VALUE"""),"MICHIGAN CITY")</f>
        <v>MICHIGAN CITY</v>
      </c>
      <c r="D189" s="8" t="str">
        <f>IFERROR(__xludf.DUMMYFUNCTION("""COMPUTED_VALUE"""),"IN")</f>
        <v>IN</v>
      </c>
      <c r="E189" s="8" t="str">
        <f>IFERROR(__xludf.DUMMYFUNCTION("""COMPUTED_VALUE"""),"USA")</f>
        <v>USA</v>
      </c>
      <c r="F189" s="8" t="str">
        <f>IFERROR(__xludf.DUMMYFUNCTION("""COMPUTED_VALUE"""),"WOMEN DBLS COMBO")</f>
        <v>WOMEN DBLS COMBO</v>
      </c>
      <c r="G189" s="8" t="str">
        <f>IFERROR(__xludf.DUMMYFUNCTION("""COMPUTED_VALUE"""),"3RD")</f>
        <v>3RD</v>
      </c>
      <c r="H189" s="8" t="str">
        <f>IFERROR(__xludf.DUMMYFUNCTION("""COMPUTED_VALUE"""),"MI REGIONAL BS 38")</f>
        <v>MI REGIONAL BS 38</v>
      </c>
      <c r="I189" s="9">
        <f>IFERROR(__xludf.DUMMYFUNCTION("""COMPUTED_VALUE"""),45444.0)</f>
        <v>45444</v>
      </c>
      <c r="J189" s="9">
        <f>IFERROR(__xludf.DUMMYFUNCTION("""COMPUTED_VALUE"""),46539.0)</f>
        <v>46539</v>
      </c>
      <c r="K189" s="10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7" t="str">
        <f>IFERROR(__xludf.DUMMYFUNCTION("""COMPUTED_VALUE"""),"SHELTON")</f>
        <v>SHELTON</v>
      </c>
      <c r="B190" s="8" t="str">
        <f>IFERROR(__xludf.DUMMYFUNCTION("""COMPUTED_VALUE"""),"STACY")</f>
        <v>STACY</v>
      </c>
      <c r="C190" s="8" t="str">
        <f>IFERROR(__xludf.DUMMYFUNCTION("""COMPUTED_VALUE"""),"PITTSBURGH")</f>
        <v>PITTSBURGH</v>
      </c>
      <c r="D190" s="8" t="str">
        <f>IFERROR(__xludf.DUMMYFUNCTION("""COMPUTED_VALUE"""),"PA")</f>
        <v>PA</v>
      </c>
      <c r="E190" s="8" t="str">
        <f>IFERROR(__xludf.DUMMYFUNCTION("""COMPUTED_VALUE"""),"USA")</f>
        <v>USA</v>
      </c>
      <c r="F190" s="8" t="str">
        <f>IFERROR(__xludf.DUMMYFUNCTION("""COMPUTED_VALUE"""),"WOMEN DBLS COMBO")</f>
        <v>WOMEN DBLS COMBO</v>
      </c>
      <c r="G190" s="8" t="str">
        <f>IFERROR(__xludf.DUMMYFUNCTION("""COMPUTED_VALUE"""),"2ND")</f>
        <v>2ND</v>
      </c>
      <c r="H190" s="8" t="str">
        <f>IFERROR(__xludf.DUMMYFUNCTION("""COMPUTED_VALUE"""),"PA REGIONAL BS 38")</f>
        <v>PA REGIONAL BS 38</v>
      </c>
      <c r="I190" s="9">
        <f>IFERROR(__xludf.DUMMYFUNCTION("""COMPUTED_VALUE"""),45444.0)</f>
        <v>45444</v>
      </c>
      <c r="J190" s="9">
        <f>IFERROR(__xludf.DUMMYFUNCTION("""COMPUTED_VALUE"""),46539.0)</f>
        <v>46539</v>
      </c>
      <c r="K190" s="1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11" t="str">
        <f>IFERROR(__xludf.DUMMYFUNCTION("""COMPUTED_VALUE"""),"SHEPHERD")</f>
        <v>SHEPHERD</v>
      </c>
      <c r="B191" s="12" t="str">
        <f>IFERROR(__xludf.DUMMYFUNCTION("""COMPUTED_VALUE"""),"RENELLE")</f>
        <v>RENELLE</v>
      </c>
      <c r="C191" s="12" t="str">
        <f>IFERROR(__xludf.DUMMYFUNCTION("""COMPUTED_VALUE"""),"CARROLTON")</f>
        <v>CARROLTON</v>
      </c>
      <c r="D191" s="12" t="str">
        <f>IFERROR(__xludf.DUMMYFUNCTION("""COMPUTED_VALUE"""),"KY")</f>
        <v>KY</v>
      </c>
      <c r="E191" s="12" t="str">
        <f>IFERROR(__xludf.DUMMYFUNCTION("""COMPUTED_VALUE"""),"USA")</f>
        <v>USA</v>
      </c>
      <c r="F191" s="12" t="str">
        <f>IFERROR(__xludf.DUMMYFUNCTION("""COMPUTED_VALUE"""),"WOMENS 301 DBLS")</f>
        <v>WOMENS 301 DBLS</v>
      </c>
      <c r="G191" s="12" t="str">
        <f>IFERROR(__xludf.DUMMYFUNCTION("""COMPUTED_VALUE"""),"2")</f>
        <v>2</v>
      </c>
      <c r="H191" s="12" t="str">
        <f>IFERROR(__xludf.DUMMYFUNCTION("""COMPUTED_VALUE"""),"BS 37 OH")</f>
        <v>BS 37 OH</v>
      </c>
      <c r="I191" s="14">
        <f>IFERROR(__xludf.DUMMYFUNCTION("""COMPUTED_VALUE"""),45078.0)</f>
        <v>45078</v>
      </c>
      <c r="J191" s="14">
        <f>IFERROR(__xludf.DUMMYFUNCTION("""COMPUTED_VALUE"""),46174.0)</f>
        <v>46174</v>
      </c>
      <c r="K191" s="1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7" t="str">
        <f>IFERROR(__xludf.DUMMYFUNCTION("""COMPUTED_VALUE"""),"SHERWOOD")</f>
        <v>SHERWOOD</v>
      </c>
      <c r="B192" s="8" t="str">
        <f>IFERROR(__xludf.DUMMYFUNCTION("""COMPUTED_VALUE"""),"BARBARA")</f>
        <v>BARBARA</v>
      </c>
      <c r="C192" s="8" t="str">
        <f>IFERROR(__xludf.DUMMYFUNCTION("""COMPUTED_VALUE"""),"NAPERVILLE")</f>
        <v>NAPERVILLE</v>
      </c>
      <c r="D192" s="8" t="str">
        <f>IFERROR(__xludf.DUMMYFUNCTION("""COMPUTED_VALUE"""),"IL")</f>
        <v>IL</v>
      </c>
      <c r="E192" s="8" t="str">
        <f>IFERROR(__xludf.DUMMYFUNCTION("""COMPUTED_VALUE"""),"USA")</f>
        <v>USA</v>
      </c>
      <c r="F192" s="8" t="str">
        <f>IFERROR(__xludf.DUMMYFUNCTION("""COMPUTED_VALUE"""),"WOMENS B COMBO LUCK")</f>
        <v>WOMENS B COMBO LUCK</v>
      </c>
      <c r="G192" s="8" t="str">
        <f>IFERROR(__xludf.DUMMYFUNCTION("""COMPUTED_VALUE"""),"1ST")</f>
        <v>1ST</v>
      </c>
      <c r="H192" s="8" t="str">
        <f>IFERROR(__xludf.DUMMYFUNCTION("""COMPUTED_VALUE"""),"BULLSHOOTER 36 FINALS")</f>
        <v>BULLSHOOTER 36 FINALS</v>
      </c>
      <c r="I192" s="9">
        <f>IFERROR(__xludf.DUMMYFUNCTION("""COMPUTED_VALUE"""),44713.0)</f>
        <v>44713</v>
      </c>
      <c r="J192" s="9">
        <f>IFERROR(__xludf.DUMMYFUNCTION("""COMPUTED_VALUE"""),45809.0)</f>
        <v>45809</v>
      </c>
      <c r="K192" s="1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7" t="str">
        <f>IFERROR(__xludf.DUMMYFUNCTION("""COMPUTED_VALUE"""),"SHIRLEY")</f>
        <v>SHIRLEY</v>
      </c>
      <c r="B193" s="8" t="str">
        <f>IFERROR(__xludf.DUMMYFUNCTION("""COMPUTED_VALUE"""),"DONNA")</f>
        <v>DONNA</v>
      </c>
      <c r="C193" s="8" t="str">
        <f>IFERROR(__xludf.DUMMYFUNCTION("""COMPUTED_VALUE"""),"HOMER CITY")</f>
        <v>HOMER CITY</v>
      </c>
      <c r="D193" s="8" t="str">
        <f>IFERROR(__xludf.DUMMYFUNCTION("""COMPUTED_VALUE"""),"PA")</f>
        <v>PA</v>
      </c>
      <c r="E193" s="8" t="str">
        <f>IFERROR(__xludf.DUMMYFUNCTION("""COMPUTED_VALUE"""),"USA")</f>
        <v>USA</v>
      </c>
      <c r="F193" s="8" t="str">
        <f>IFERROR(__xludf.DUMMYFUNCTION("""COMPUTED_VALUE"""),"WOMEN DBLS 301")</f>
        <v>WOMEN DBLS 301</v>
      </c>
      <c r="G193" s="8" t="str">
        <f>IFERROR(__xludf.DUMMYFUNCTION("""COMPUTED_VALUE"""),"2ND")</f>
        <v>2ND</v>
      </c>
      <c r="H193" s="8" t="str">
        <f>IFERROR(__xludf.DUMMYFUNCTION("""COMPUTED_VALUE"""),"NY REGIONAL BS 38")</f>
        <v>NY REGIONAL BS 38</v>
      </c>
      <c r="I193" s="9">
        <f>IFERROR(__xludf.DUMMYFUNCTION("""COMPUTED_VALUE"""),45444.0)</f>
        <v>45444</v>
      </c>
      <c r="J193" s="9">
        <f>IFERROR(__xludf.DUMMYFUNCTION("""COMPUTED_VALUE"""),46539.0)</f>
        <v>46539</v>
      </c>
      <c r="K193" s="1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7" t="str">
        <f>IFERROR(__xludf.DUMMYFUNCTION("""COMPUTED_VALUE"""),"SIMPKINS")</f>
        <v>SIMPKINS</v>
      </c>
      <c r="B194" s="8" t="str">
        <f>IFERROR(__xludf.DUMMYFUNCTION("""COMPUTED_VALUE"""),"LORI")</f>
        <v>LORI</v>
      </c>
      <c r="C194" s="8" t="str">
        <f>IFERROR(__xludf.DUMMYFUNCTION("""COMPUTED_VALUE"""),"MARYSVILLE")</f>
        <v>MARYSVILLE</v>
      </c>
      <c r="D194" s="8" t="str">
        <f>IFERROR(__xludf.DUMMYFUNCTION("""COMPUTED_VALUE"""),"OH")</f>
        <v>OH</v>
      </c>
      <c r="E194" s="8" t="str">
        <f>IFERROR(__xludf.DUMMYFUNCTION("""COMPUTED_VALUE"""),"USA")</f>
        <v>USA</v>
      </c>
      <c r="F194" s="8" t="str">
        <f>IFERROR(__xludf.DUMMYFUNCTION("""COMPUTED_VALUE"""),"WOMEN DBLS COMBO")</f>
        <v>WOMEN DBLS COMBO</v>
      </c>
      <c r="G194" s="8" t="str">
        <f>IFERROR(__xludf.DUMMYFUNCTION("""COMPUTED_VALUE"""),"1ST")</f>
        <v>1ST</v>
      </c>
      <c r="H194" s="8" t="str">
        <f>IFERROR(__xludf.DUMMYFUNCTION("""COMPUTED_VALUE"""),"OH REGIONAL BS 38")</f>
        <v>OH REGIONAL BS 38</v>
      </c>
      <c r="I194" s="9">
        <f>IFERROR(__xludf.DUMMYFUNCTION("""COMPUTED_VALUE"""),45444.0)</f>
        <v>45444</v>
      </c>
      <c r="J194" s="9">
        <f>IFERROR(__xludf.DUMMYFUNCTION("""COMPUTED_VALUE"""),46539.0)</f>
        <v>46539</v>
      </c>
      <c r="K194" s="1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7" t="str">
        <f>IFERROR(__xludf.DUMMYFUNCTION("""COMPUTED_VALUE"""),"SIMS")</f>
        <v>SIMS</v>
      </c>
      <c r="B195" s="8" t="str">
        <f>IFERROR(__xludf.DUMMYFUNCTION("""COMPUTED_VALUE"""),"JENNIFER")</f>
        <v>JENNIFER</v>
      </c>
      <c r="C195" s="8" t="str">
        <f>IFERROR(__xludf.DUMMYFUNCTION("""COMPUTED_VALUE"""),"NIAGARA FALLS")</f>
        <v>NIAGARA FALLS</v>
      </c>
      <c r="D195" s="8" t="str">
        <f>IFERROR(__xludf.DUMMYFUNCTION("""COMPUTED_VALUE"""),"NY")</f>
        <v>NY</v>
      </c>
      <c r="E195" s="8" t="str">
        <f>IFERROR(__xludf.DUMMYFUNCTION("""COMPUTED_VALUE"""),"USA")</f>
        <v>USA</v>
      </c>
      <c r="F195" s="8" t="str">
        <f>IFERROR(__xludf.DUMMYFUNCTION("""COMPUTED_VALUE"""),"WOMEN DBLS 301")</f>
        <v>WOMEN DBLS 301</v>
      </c>
      <c r="G195" s="8" t="str">
        <f>IFERROR(__xludf.DUMMYFUNCTION("""COMPUTED_VALUE"""),"1ST")</f>
        <v>1ST</v>
      </c>
      <c r="H195" s="8" t="str">
        <f>IFERROR(__xludf.DUMMYFUNCTION("""COMPUTED_VALUE"""),"NY REGIONAL BS 38")</f>
        <v>NY REGIONAL BS 38</v>
      </c>
      <c r="I195" s="9">
        <f>IFERROR(__xludf.DUMMYFUNCTION("""COMPUTED_VALUE"""),45444.0)</f>
        <v>45444</v>
      </c>
      <c r="J195" s="9">
        <f>IFERROR(__xludf.DUMMYFUNCTION("""COMPUTED_VALUE"""),46539.0)</f>
        <v>46539</v>
      </c>
      <c r="K195" s="1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7" t="str">
        <f>IFERROR(__xludf.DUMMYFUNCTION("""COMPUTED_VALUE"""),"Smith")</f>
        <v>Smith</v>
      </c>
      <c r="B196" s="8" t="str">
        <f>IFERROR(__xludf.DUMMYFUNCTION("""COMPUTED_VALUE"""),"Susan")</f>
        <v>Susan</v>
      </c>
      <c r="C196" s="8" t="str">
        <f>IFERROR(__xludf.DUMMYFUNCTION("""COMPUTED_VALUE"""),"Phoenix")</f>
        <v>Phoenix</v>
      </c>
      <c r="D196" s="8" t="str">
        <f>IFERROR(__xludf.DUMMYFUNCTION("""COMPUTED_VALUE"""),"AZ")</f>
        <v>AZ</v>
      </c>
      <c r="E196" s="8" t="str">
        <f>IFERROR(__xludf.DUMMYFUNCTION("""COMPUTED_VALUE"""),"USA")</f>
        <v>USA</v>
      </c>
      <c r="F196" s="8" t="str">
        <f>IFERROR(__xludf.DUMMYFUNCTION("""COMPUTED_VALUE"""),"WOMENS DBLS 301")</f>
        <v>WOMENS DBLS 301</v>
      </c>
      <c r="G196" s="8" t="str">
        <f>IFERROR(__xludf.DUMMYFUNCTION("""COMPUTED_VALUE"""),"3RD")</f>
        <v>3RD</v>
      </c>
      <c r="H196" s="8" t="str">
        <f>IFERROR(__xludf.DUMMYFUNCTION("""COMPUTED_VALUE"""),"AZ REGIONAL BS 36")</f>
        <v>AZ REGIONAL BS 36</v>
      </c>
      <c r="I196" s="9">
        <f>IFERROR(__xludf.DUMMYFUNCTION("""COMPUTED_VALUE"""),44713.0)</f>
        <v>44713</v>
      </c>
      <c r="J196" s="9">
        <f>IFERROR(__xludf.DUMMYFUNCTION("""COMPUTED_VALUE"""),45809.0)</f>
        <v>45809</v>
      </c>
      <c r="K196" s="1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7" t="str">
        <f>IFERROR(__xludf.DUMMYFUNCTION("""COMPUTED_VALUE"""),"SMITH")</f>
        <v>SMITH</v>
      </c>
      <c r="B197" s="8" t="str">
        <f>IFERROR(__xludf.DUMMYFUNCTION("""COMPUTED_VALUE"""),"HUNTER")</f>
        <v>HUNTER</v>
      </c>
      <c r="C197" s="8" t="str">
        <f>IFERROR(__xludf.DUMMYFUNCTION("""COMPUTED_VALUE"""),"SIOUX FALLS")</f>
        <v>SIOUX FALLS</v>
      </c>
      <c r="D197" s="8" t="str">
        <f>IFERROR(__xludf.DUMMYFUNCTION("""COMPUTED_VALUE"""),"SD")</f>
        <v>SD</v>
      </c>
      <c r="E197" s="8" t="str">
        <f>IFERROR(__xludf.DUMMYFUNCTION("""COMPUTED_VALUE"""),"USA")</f>
        <v>USA</v>
      </c>
      <c r="F197" s="8" t="str">
        <f>IFERROR(__xludf.DUMMYFUNCTION("""COMPUTED_VALUE"""),"WOMENS DBLS COMBO")</f>
        <v>WOMENS DBLS COMBO</v>
      </c>
      <c r="G197" s="8" t="str">
        <f>IFERROR(__xludf.DUMMYFUNCTION("""COMPUTED_VALUE"""),"1st")</f>
        <v>1st</v>
      </c>
      <c r="H197" s="8" t="str">
        <f>IFERROR(__xludf.DUMMYFUNCTION("""COMPUTED_VALUE"""),"NE REGIONAL BS 38")</f>
        <v>NE REGIONAL BS 38</v>
      </c>
      <c r="I197" s="9">
        <f>IFERROR(__xludf.DUMMYFUNCTION("""COMPUTED_VALUE"""),45444.0)</f>
        <v>45444</v>
      </c>
      <c r="J197" s="9">
        <f>IFERROR(__xludf.DUMMYFUNCTION("""COMPUTED_VALUE"""),46539.0)</f>
        <v>46539</v>
      </c>
      <c r="K197" s="1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7" t="str">
        <f>IFERROR(__xludf.DUMMYFUNCTION("""COMPUTED_VALUE"""),"SNYDER")</f>
        <v>SNYDER</v>
      </c>
      <c r="B198" s="8" t="str">
        <f>IFERROR(__xludf.DUMMYFUNCTION("""COMPUTED_VALUE"""),"SUSAN")</f>
        <v>SUSAN</v>
      </c>
      <c r="C198" s="8" t="str">
        <f>IFERROR(__xludf.DUMMYFUNCTION("""COMPUTED_VALUE"""),"HOMER CITY")</f>
        <v>HOMER CITY</v>
      </c>
      <c r="D198" s="8" t="str">
        <f>IFERROR(__xludf.DUMMYFUNCTION("""COMPUTED_VALUE"""),"PA")</f>
        <v>PA</v>
      </c>
      <c r="E198" s="8" t="str">
        <f>IFERROR(__xludf.DUMMYFUNCTION("""COMPUTED_VALUE"""),"USA")</f>
        <v>USA</v>
      </c>
      <c r="F198" s="8" t="str">
        <f>IFERROR(__xludf.DUMMYFUNCTION("""COMPUTED_VALUE"""),"WOMEN SNG COMBO")</f>
        <v>WOMEN SNG COMBO</v>
      </c>
      <c r="G198" s="8" t="str">
        <f>IFERROR(__xludf.DUMMYFUNCTION("""COMPUTED_VALUE"""),"3RD")</f>
        <v>3RD</v>
      </c>
      <c r="H198" s="8" t="str">
        <f>IFERROR(__xludf.DUMMYFUNCTION("""COMPUTED_VALUE"""),"NY REGIONAL BS 38")</f>
        <v>NY REGIONAL BS 38</v>
      </c>
      <c r="I198" s="9">
        <f>IFERROR(__xludf.DUMMYFUNCTION("""COMPUTED_VALUE"""),45444.0)</f>
        <v>45444</v>
      </c>
      <c r="J198" s="9">
        <f>IFERROR(__xludf.DUMMYFUNCTION("""COMPUTED_VALUE"""),46539.0)</f>
        <v>46539</v>
      </c>
      <c r="K198" s="1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7" t="str">
        <f>IFERROR(__xludf.DUMMYFUNCTION("""COMPUTED_VALUE"""),"Snyder")</f>
        <v>Snyder</v>
      </c>
      <c r="B199" s="8" t="str">
        <f>IFERROR(__xludf.DUMMYFUNCTION("""COMPUTED_VALUE"""),"Madison")</f>
        <v>Madison</v>
      </c>
      <c r="C199" s="8" t="str">
        <f>IFERROR(__xludf.DUMMYFUNCTION("""COMPUTED_VALUE"""),"Lewiston")</f>
        <v>Lewiston</v>
      </c>
      <c r="D199" s="8" t="str">
        <f>IFERROR(__xludf.DUMMYFUNCTION("""COMPUTED_VALUE"""),"PA")</f>
        <v>PA</v>
      </c>
      <c r="E199" s="8" t="str">
        <f>IFERROR(__xludf.DUMMYFUNCTION("""COMPUTED_VALUE"""),"USA")</f>
        <v>USA</v>
      </c>
      <c r="F199" s="8" t="str">
        <f>IFERROR(__xludf.DUMMYFUNCTION("""COMPUTED_VALUE"""),"WOMENS DBLS 301")</f>
        <v>WOMENS DBLS 301</v>
      </c>
      <c r="G199" s="8" t="str">
        <f>IFERROR(__xludf.DUMMYFUNCTION("""COMPUTED_VALUE"""),"2ND")</f>
        <v>2ND</v>
      </c>
      <c r="H199" s="8" t="str">
        <f>IFERROR(__xludf.DUMMYFUNCTION("""COMPUTED_VALUE"""),"PA REGIONAL BS 36")</f>
        <v>PA REGIONAL BS 36</v>
      </c>
      <c r="I199" s="9">
        <f>IFERROR(__xludf.DUMMYFUNCTION("""COMPUTED_VALUE"""),43983.0)</f>
        <v>43983</v>
      </c>
      <c r="J199" s="9">
        <f>IFERROR(__xludf.DUMMYFUNCTION("""COMPUTED_VALUE"""),45809.0)</f>
        <v>45809</v>
      </c>
      <c r="K199" s="1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7" t="str">
        <f>IFERROR(__xludf.DUMMYFUNCTION("""COMPUTED_VALUE"""),"Solis")</f>
        <v>Solis</v>
      </c>
      <c r="B200" s="8" t="str">
        <f>IFERROR(__xludf.DUMMYFUNCTION("""COMPUTED_VALUE"""),"Carolanne")</f>
        <v>Carolanne</v>
      </c>
      <c r="C200" s="8" t="str">
        <f>IFERROR(__xludf.DUMMYFUNCTION("""COMPUTED_VALUE"""),"Surfside Beach")</f>
        <v>Surfside Beach</v>
      </c>
      <c r="D200" s="8" t="str">
        <f>IFERROR(__xludf.DUMMYFUNCTION("""COMPUTED_VALUE"""),"SC")</f>
        <v>SC</v>
      </c>
      <c r="E200" s="8" t="str">
        <f>IFERROR(__xludf.DUMMYFUNCTION("""COMPUTED_VALUE"""),"USA")</f>
        <v>USA</v>
      </c>
      <c r="F200" s="8" t="str">
        <f>IFERROR(__xludf.DUMMYFUNCTION("""COMPUTED_VALUE"""),"Women A Cricket Doubles")</f>
        <v>Women A Cricket Doubles</v>
      </c>
      <c r="G200" s="8" t="str">
        <f>IFERROR(__xludf.DUMMYFUNCTION("""COMPUTED_VALUE"""),"1st")</f>
        <v>1st</v>
      </c>
      <c r="H200" s="8" t="str">
        <f>IFERROR(__xludf.DUMMYFUNCTION("""COMPUTED_VALUE"""),"BullShooter 34 Finals")</f>
        <v>BullShooter 34 Finals</v>
      </c>
      <c r="I200" s="9">
        <f>IFERROR(__xludf.DUMMYFUNCTION("""COMPUTED_VALUE"""),43617.0)</f>
        <v>43617</v>
      </c>
      <c r="J200" s="9">
        <f>IFERROR(__xludf.DUMMYFUNCTION("""COMPUTED_VALUE"""),45809.0)</f>
        <v>45809</v>
      </c>
      <c r="K200" s="1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7" t="str">
        <f>IFERROR(__xludf.DUMMYFUNCTION("""COMPUTED_VALUE"""),"Sonntag")</f>
        <v>Sonntag</v>
      </c>
      <c r="B201" s="8" t="str">
        <f>IFERROR(__xludf.DUMMYFUNCTION("""COMPUTED_VALUE"""),"Sharon")</f>
        <v>Sharon</v>
      </c>
      <c r="C201" s="8" t="str">
        <f>IFERROR(__xludf.DUMMYFUNCTION("""COMPUTED_VALUE"""),"Franklin")</f>
        <v>Franklin</v>
      </c>
      <c r="D201" s="8" t="str">
        <f>IFERROR(__xludf.DUMMYFUNCTION("""COMPUTED_VALUE"""),"WI")</f>
        <v>WI</v>
      </c>
      <c r="E201" s="8" t="str">
        <f>IFERROR(__xludf.DUMMYFUNCTION("""COMPUTED_VALUE"""),"USA")</f>
        <v>USA</v>
      </c>
      <c r="F201" s="8" t="str">
        <f>IFERROR(__xludf.DUMMYFUNCTION("""COMPUTED_VALUE"""),"Women A 501 Doubles")</f>
        <v>Women A 501 Doubles</v>
      </c>
      <c r="G201" s="8" t="str">
        <f>IFERROR(__xludf.DUMMYFUNCTION("""COMPUTED_VALUE"""),"2nd")</f>
        <v>2nd</v>
      </c>
      <c r="H201" s="8" t="str">
        <f>IFERROR(__xludf.DUMMYFUNCTION("""COMPUTED_VALUE"""),"BullShooter 34 Finals")</f>
        <v>BullShooter 34 Finals</v>
      </c>
      <c r="I201" s="9">
        <f>IFERROR(__xludf.DUMMYFUNCTION("""COMPUTED_VALUE"""),43617.0)</f>
        <v>43617</v>
      </c>
      <c r="J201" s="9">
        <f>IFERROR(__xludf.DUMMYFUNCTION("""COMPUTED_VALUE"""),45809.0)</f>
        <v>45809</v>
      </c>
      <c r="K201" s="1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7" t="str">
        <f>IFERROR(__xludf.DUMMYFUNCTION("""COMPUTED_VALUE"""),"SOTH")</f>
        <v>SOTH</v>
      </c>
      <c r="B202" s="8" t="str">
        <f>IFERROR(__xludf.DUMMYFUNCTION("""COMPUTED_VALUE"""),"STEPHANIE")</f>
        <v>STEPHANIE</v>
      </c>
      <c r="C202" s="8" t="str">
        <f>IFERROR(__xludf.DUMMYFUNCTION("""COMPUTED_VALUE"""),"SWARTZ CREEK")</f>
        <v>SWARTZ CREEK</v>
      </c>
      <c r="D202" s="8" t="str">
        <f>IFERROR(__xludf.DUMMYFUNCTION("""COMPUTED_VALUE"""),"MI")</f>
        <v>MI</v>
      </c>
      <c r="E202" s="8" t="str">
        <f>IFERROR(__xludf.DUMMYFUNCTION("""COMPUTED_VALUE"""),"USA")</f>
        <v>USA</v>
      </c>
      <c r="F202" s="8" t="str">
        <f>IFERROR(__xludf.DUMMYFUNCTION("""COMPUTED_VALUE"""),"WOMEN DBLS COMBO")</f>
        <v>WOMEN DBLS COMBO</v>
      </c>
      <c r="G202" s="8" t="str">
        <f>IFERROR(__xludf.DUMMYFUNCTION("""COMPUTED_VALUE"""),"1ST")</f>
        <v>1ST</v>
      </c>
      <c r="H202" s="8" t="str">
        <f>IFERROR(__xludf.DUMMYFUNCTION("""COMPUTED_VALUE"""),"MI REGIONAL BS 38")</f>
        <v>MI REGIONAL BS 38</v>
      </c>
      <c r="I202" s="9">
        <f>IFERROR(__xludf.DUMMYFUNCTION("""COMPUTED_VALUE"""),45444.0)</f>
        <v>45444</v>
      </c>
      <c r="J202" s="9">
        <f>IFERROR(__xludf.DUMMYFUNCTION("""COMPUTED_VALUE"""),46539.0)</f>
        <v>46539</v>
      </c>
      <c r="K202" s="1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7" t="str">
        <f>IFERROR(__xludf.DUMMYFUNCTION("""COMPUTED_VALUE"""),"Spencer")</f>
        <v>Spencer</v>
      </c>
      <c r="B203" s="8" t="str">
        <f>IFERROR(__xludf.DUMMYFUNCTION("""COMPUTED_VALUE"""),"Meredith")</f>
        <v>Meredith</v>
      </c>
      <c r="C203" s="8" t="str">
        <f>IFERROR(__xludf.DUMMYFUNCTION("""COMPUTED_VALUE"""),"Kearney")</f>
        <v>Kearney</v>
      </c>
      <c r="D203" s="8" t="str">
        <f>IFERROR(__xludf.DUMMYFUNCTION("""COMPUTED_VALUE"""),"NE")</f>
        <v>NE</v>
      </c>
      <c r="E203" s="8" t="str">
        <f>IFERROR(__xludf.DUMMYFUNCTION("""COMPUTED_VALUE"""),"USA")</f>
        <v>USA</v>
      </c>
      <c r="F203" s="8" t="str">
        <f>IFERROR(__xludf.DUMMYFUNCTION("""COMPUTED_VALUE"""),"WOMEN SINGLES COMBO")</f>
        <v>WOMEN SINGLES COMBO</v>
      </c>
      <c r="G203" s="8" t="str">
        <f>IFERROR(__xludf.DUMMYFUNCTION("""COMPUTED_VALUE"""),"3RD")</f>
        <v>3RD</v>
      </c>
      <c r="H203" s="8" t="str">
        <f>IFERROR(__xludf.DUMMYFUNCTION("""COMPUTED_VALUE"""),"NE REGIONAL BS 36")</f>
        <v>NE REGIONAL BS 36</v>
      </c>
      <c r="I203" s="9">
        <f>IFERROR(__xludf.DUMMYFUNCTION("""COMPUTED_VALUE"""),43983.0)</f>
        <v>43983</v>
      </c>
      <c r="J203" s="9">
        <f>IFERROR(__xludf.DUMMYFUNCTION("""COMPUTED_VALUE"""),45809.0)</f>
        <v>45809</v>
      </c>
      <c r="K203" s="1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7" t="str">
        <f>IFERROR(__xludf.DUMMYFUNCTION("""COMPUTED_VALUE"""),"STEELE")</f>
        <v>STEELE</v>
      </c>
      <c r="B204" s="8" t="str">
        <f>IFERROR(__xludf.DUMMYFUNCTION("""COMPUTED_VALUE"""),"JESSICA")</f>
        <v>JESSICA</v>
      </c>
      <c r="C204" s="8" t="str">
        <f>IFERROR(__xludf.DUMMYFUNCTION("""COMPUTED_VALUE"""),"MEMPHIS")</f>
        <v>MEMPHIS</v>
      </c>
      <c r="D204" s="8" t="str">
        <f>IFERROR(__xludf.DUMMYFUNCTION("""COMPUTED_VALUE"""),"TN")</f>
        <v>TN</v>
      </c>
      <c r="E204" s="8" t="str">
        <f>IFERROR(__xludf.DUMMYFUNCTION("""COMPUTED_VALUE"""),"USA")</f>
        <v>USA</v>
      </c>
      <c r="F204" s="8" t="str">
        <f>IFERROR(__xludf.DUMMYFUNCTION("""COMPUTED_VALUE"""),"WOMEN DBLS COMBO")</f>
        <v>WOMEN DBLS COMBO</v>
      </c>
      <c r="G204" s="8" t="str">
        <f>IFERROR(__xludf.DUMMYFUNCTION("""COMPUTED_VALUE"""),"1ST")</f>
        <v>1ST</v>
      </c>
      <c r="H204" s="8" t="str">
        <f>IFERROR(__xludf.DUMMYFUNCTION("""COMPUTED_VALUE"""),"TN REGIONAL BS 38")</f>
        <v>TN REGIONAL BS 38</v>
      </c>
      <c r="I204" s="9">
        <f>IFERROR(__xludf.DUMMYFUNCTION("""COMPUTED_VALUE"""),45444.0)</f>
        <v>45444</v>
      </c>
      <c r="J204" s="9">
        <f>IFERROR(__xludf.DUMMYFUNCTION("""COMPUTED_VALUE"""),46539.0)</f>
        <v>46539</v>
      </c>
      <c r="K204" s="1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7" t="str">
        <f>IFERROR(__xludf.DUMMYFUNCTION("""COMPUTED_VALUE"""),"STEVENSON")</f>
        <v>STEVENSON</v>
      </c>
      <c r="B205" s="8" t="str">
        <f>IFERROR(__xludf.DUMMYFUNCTION("""COMPUTED_VALUE"""),"CRYSTAL")</f>
        <v>CRYSTAL</v>
      </c>
      <c r="C205" s="8" t="str">
        <f>IFERROR(__xludf.DUMMYFUNCTION("""COMPUTED_VALUE"""),"LAKE ORION")</f>
        <v>LAKE ORION</v>
      </c>
      <c r="D205" s="8" t="str">
        <f>IFERROR(__xludf.DUMMYFUNCTION("""COMPUTED_VALUE"""),"MI")</f>
        <v>MI</v>
      </c>
      <c r="E205" s="8" t="str">
        <f>IFERROR(__xludf.DUMMYFUNCTION("""COMPUTED_VALUE"""),"USA")</f>
        <v>USA</v>
      </c>
      <c r="F205" s="8" t="str">
        <f>IFERROR(__xludf.DUMMYFUNCTION("""COMPUTED_VALUE"""),"WOMEN SNG COMBO")</f>
        <v>WOMEN SNG COMBO</v>
      </c>
      <c r="G205" s="8" t="str">
        <f>IFERROR(__xludf.DUMMYFUNCTION("""COMPUTED_VALUE"""),"3RD")</f>
        <v>3RD</v>
      </c>
      <c r="H205" s="8" t="str">
        <f>IFERROR(__xludf.DUMMYFUNCTION("""COMPUTED_VALUE"""),"MI REGIONAL BS 38")</f>
        <v>MI REGIONAL BS 38</v>
      </c>
      <c r="I205" s="9">
        <f>IFERROR(__xludf.DUMMYFUNCTION("""COMPUTED_VALUE"""),45444.0)</f>
        <v>45444</v>
      </c>
      <c r="J205" s="9">
        <f>IFERROR(__xludf.DUMMYFUNCTION("""COMPUTED_VALUE"""),46539.0)</f>
        <v>46539</v>
      </c>
      <c r="K205" s="1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7" t="str">
        <f>IFERROR(__xludf.DUMMYFUNCTION("""COMPUTED_VALUE"""),"STEWART (NICOLE)")</f>
        <v>STEWART (NICOLE)</v>
      </c>
      <c r="B206" s="8" t="str">
        <f>IFERROR(__xludf.DUMMYFUNCTION("""COMPUTED_VALUE"""),"TASHA")</f>
        <v>TASHA</v>
      </c>
      <c r="C206" s="8" t="str">
        <f>IFERROR(__xludf.DUMMYFUNCTION("""COMPUTED_VALUE"""),"YUKON")</f>
        <v>YUKON</v>
      </c>
      <c r="D206" s="8" t="str">
        <f>IFERROR(__xludf.DUMMYFUNCTION("""COMPUTED_VALUE"""),"OK")</f>
        <v>OK</v>
      </c>
      <c r="E206" s="8" t="str">
        <f>IFERROR(__xludf.DUMMYFUNCTION("""COMPUTED_VALUE"""),"USA")</f>
        <v>USA</v>
      </c>
      <c r="F206" s="8" t="str">
        <f>IFERROR(__xludf.DUMMYFUNCTION("""COMPUTED_VALUE"""),"WOMENS DBLS 301")</f>
        <v>WOMENS DBLS 301</v>
      </c>
      <c r="G206" s="8" t="str">
        <f>IFERROR(__xludf.DUMMYFUNCTION("""COMPUTED_VALUE"""),"2ND")</f>
        <v>2ND</v>
      </c>
      <c r="H206" s="8" t="str">
        <f>IFERROR(__xludf.DUMMYFUNCTION("""COMPUTED_VALUE"""),"OH REGIONAL BS 38")</f>
        <v>OH REGIONAL BS 38</v>
      </c>
      <c r="I206" s="9">
        <f>IFERROR(__xludf.DUMMYFUNCTION("""COMPUTED_VALUE"""),45444.0)</f>
        <v>45444</v>
      </c>
      <c r="J206" s="9">
        <f>IFERROR(__xludf.DUMMYFUNCTION("""COMPUTED_VALUE"""),46539.0)</f>
        <v>46539</v>
      </c>
      <c r="K206" s="1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7" t="str">
        <f>IFERROR(__xludf.DUMMYFUNCTION("""COMPUTED_VALUE"""),"SURRENCY")</f>
        <v>SURRENCY</v>
      </c>
      <c r="B207" s="8" t="str">
        <f>IFERROR(__xludf.DUMMYFUNCTION("""COMPUTED_VALUE"""),"KERI")</f>
        <v>KERI</v>
      </c>
      <c r="C207" s="8" t="str">
        <f>IFERROR(__xludf.DUMMYFUNCTION("""COMPUTED_VALUE"""),"PLANT CITY")</f>
        <v>PLANT CITY</v>
      </c>
      <c r="D207" s="8" t="str">
        <f>IFERROR(__xludf.DUMMYFUNCTION("""COMPUTED_VALUE"""),"FL")</f>
        <v>FL</v>
      </c>
      <c r="E207" s="8" t="str">
        <f>IFERROR(__xludf.DUMMYFUNCTION("""COMPUTED_VALUE"""),"USA")</f>
        <v>USA</v>
      </c>
      <c r="F207" s="8" t="str">
        <f>IFERROR(__xludf.DUMMYFUNCTION("""COMPUTED_VALUE"""),"WOMENS 301 DBLS")</f>
        <v>WOMENS 301 DBLS</v>
      </c>
      <c r="G207" s="8" t="str">
        <f>IFERROR(__xludf.DUMMYFUNCTION("""COMPUTED_VALUE"""),"2")</f>
        <v>2</v>
      </c>
      <c r="H207" s="8" t="str">
        <f>IFERROR(__xludf.DUMMYFUNCTION("""COMPUTED_VALUE"""),"BS 37 OH")</f>
        <v>BS 37 OH</v>
      </c>
      <c r="I207" s="9">
        <f>IFERROR(__xludf.DUMMYFUNCTION("""COMPUTED_VALUE"""),45078.0)</f>
        <v>45078</v>
      </c>
      <c r="J207" s="9">
        <f>IFERROR(__xludf.DUMMYFUNCTION("""COMPUTED_VALUE"""),46174.0)</f>
        <v>46174</v>
      </c>
      <c r="K207" s="1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7" t="str">
        <f>IFERROR(__xludf.DUMMYFUNCTION("""COMPUTED_VALUE"""),"SWAIN")</f>
        <v>SWAIN</v>
      </c>
      <c r="B208" s="8" t="str">
        <f>IFERROR(__xludf.DUMMYFUNCTION("""COMPUTED_VALUE"""),"JASMINE")</f>
        <v>JASMINE</v>
      </c>
      <c r="C208" s="8" t="str">
        <f>IFERROR(__xludf.DUMMYFUNCTION("""COMPUTED_VALUE"""),"SPRINGFIELD")</f>
        <v>SPRINGFIELD</v>
      </c>
      <c r="D208" s="8" t="str">
        <f>IFERROR(__xludf.DUMMYFUNCTION("""COMPUTED_VALUE"""),"OH")</f>
        <v>OH</v>
      </c>
      <c r="E208" s="8" t="str">
        <f>IFERROR(__xludf.DUMMYFUNCTION("""COMPUTED_VALUE"""),"USA")</f>
        <v>USA</v>
      </c>
      <c r="F208" s="8" t="str">
        <f>IFERROR(__xludf.DUMMYFUNCTION("""COMPUTED_VALUE"""),"WOMEN DBLS 301")</f>
        <v>WOMEN DBLS 301</v>
      </c>
      <c r="G208" s="8" t="str">
        <f>IFERROR(__xludf.DUMMYFUNCTION("""COMPUTED_VALUE"""),"3RD")</f>
        <v>3RD</v>
      </c>
      <c r="H208" s="8" t="str">
        <f>IFERROR(__xludf.DUMMYFUNCTION("""COMPUTED_VALUE"""),"OH REGIONAL BS 38")</f>
        <v>OH REGIONAL BS 38</v>
      </c>
      <c r="I208" s="9">
        <f>IFERROR(__xludf.DUMMYFUNCTION("""COMPUTED_VALUE"""),45444.0)</f>
        <v>45444</v>
      </c>
      <c r="J208" s="9">
        <f>IFERROR(__xludf.DUMMYFUNCTION("""COMPUTED_VALUE"""),46539.0)</f>
        <v>46539</v>
      </c>
      <c r="K208" s="1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7" t="str">
        <f>IFERROR(__xludf.DUMMYFUNCTION("""COMPUTED_VALUE"""),"SWEET")</f>
        <v>SWEET</v>
      </c>
      <c r="B209" s="8" t="str">
        <f>IFERROR(__xludf.DUMMYFUNCTION("""COMPUTED_VALUE"""),"MEGAN")</f>
        <v>MEGAN</v>
      </c>
      <c r="C209" s="8" t="str">
        <f>IFERROR(__xludf.DUMMYFUNCTION("""COMPUTED_VALUE"""),"COLORADO SPRINGS")</f>
        <v>COLORADO SPRINGS</v>
      </c>
      <c r="D209" s="8" t="str">
        <f>IFERROR(__xludf.DUMMYFUNCTION("""COMPUTED_VALUE"""),"CO")</f>
        <v>CO</v>
      </c>
      <c r="E209" s="8" t="str">
        <f>IFERROR(__xludf.DUMMYFUNCTION("""COMPUTED_VALUE"""),"USA")</f>
        <v>USA</v>
      </c>
      <c r="F209" s="8" t="str">
        <f>IFERROR(__xludf.DUMMYFUNCTION("""COMPUTED_VALUE"""),"WOMENS DBLS 301")</f>
        <v>WOMENS DBLS 301</v>
      </c>
      <c r="G209" s="8" t="str">
        <f>IFERROR(__xludf.DUMMYFUNCTION("""COMPUTED_VALUE"""),"3RD")</f>
        <v>3RD</v>
      </c>
      <c r="H209" s="8" t="str">
        <f>IFERROR(__xludf.DUMMYFUNCTION("""COMPUTED_VALUE"""),"WY REGIONAL BS 36")</f>
        <v>WY REGIONAL BS 36</v>
      </c>
      <c r="I209" s="9">
        <f>IFERROR(__xludf.DUMMYFUNCTION("""COMPUTED_VALUE"""),44713.0)</f>
        <v>44713</v>
      </c>
      <c r="J209" s="9">
        <f>IFERROR(__xludf.DUMMYFUNCTION("""COMPUTED_VALUE"""),45809.0)</f>
        <v>45809</v>
      </c>
      <c r="K209" s="10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7" t="str">
        <f>IFERROR(__xludf.DUMMYFUNCTION("""COMPUTED_VALUE"""),"TISCHLER")</f>
        <v>TISCHLER</v>
      </c>
      <c r="B210" s="8" t="str">
        <f>IFERROR(__xludf.DUMMYFUNCTION("""COMPUTED_VALUE"""),"JENNIFER")</f>
        <v>JENNIFER</v>
      </c>
      <c r="C210" s="8" t="str">
        <f>IFERROR(__xludf.DUMMYFUNCTION("""COMPUTED_VALUE"""),"NEOGA")</f>
        <v>NEOGA</v>
      </c>
      <c r="D210" s="8" t="str">
        <f>IFERROR(__xludf.DUMMYFUNCTION("""COMPUTED_VALUE"""),"IL")</f>
        <v>IL</v>
      </c>
      <c r="E210" s="8" t="str">
        <f>IFERROR(__xludf.DUMMYFUNCTION("""COMPUTED_VALUE"""),"USA")</f>
        <v>USA</v>
      </c>
      <c r="F210" s="8" t="str">
        <f>IFERROR(__xludf.DUMMYFUNCTION("""COMPUTED_VALUE"""),"WOMENS 301 DBLS")</f>
        <v>WOMENS 301 DBLS</v>
      </c>
      <c r="G210" s="8" t="str">
        <f>IFERROR(__xludf.DUMMYFUNCTION("""COMPUTED_VALUE"""),"1")</f>
        <v>1</v>
      </c>
      <c r="H210" s="8" t="str">
        <f>IFERROR(__xludf.DUMMYFUNCTION("""COMPUTED_VALUE"""),"BS 37 IN")</f>
        <v>BS 37 IN</v>
      </c>
      <c r="I210" s="9">
        <f>IFERROR(__xludf.DUMMYFUNCTION("""COMPUTED_VALUE"""),45078.0)</f>
        <v>45078</v>
      </c>
      <c r="J210" s="9">
        <f>IFERROR(__xludf.DUMMYFUNCTION("""COMPUTED_VALUE"""),46174.0)</f>
        <v>46174</v>
      </c>
      <c r="K210" s="10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7" t="str">
        <f>IFERROR(__xludf.DUMMYFUNCTION("""COMPUTED_VALUE"""),"TISCHLER")</f>
        <v>TISCHLER</v>
      </c>
      <c r="B211" s="8" t="str">
        <f>IFERROR(__xludf.DUMMYFUNCTION("""COMPUTED_VALUE"""),"VALERIE")</f>
        <v>VALERIE</v>
      </c>
      <c r="C211" s="8" t="str">
        <f>IFERROR(__xludf.DUMMYFUNCTION("""COMPUTED_VALUE"""),"MENAHGA")</f>
        <v>MENAHGA</v>
      </c>
      <c r="D211" s="8" t="str">
        <f>IFERROR(__xludf.DUMMYFUNCTION("""COMPUTED_VALUE"""),"IL")</f>
        <v>IL</v>
      </c>
      <c r="E211" s="8" t="str">
        <f>IFERROR(__xludf.DUMMYFUNCTION("""COMPUTED_VALUE"""),"USA")</f>
        <v>USA</v>
      </c>
      <c r="F211" s="8" t="str">
        <f>IFERROR(__xludf.DUMMYFUNCTION("""COMPUTED_VALUE"""),"WOMEN DBLS 301")</f>
        <v>WOMEN DBLS 301</v>
      </c>
      <c r="G211" s="8" t="str">
        <f>IFERROR(__xludf.DUMMYFUNCTION("""COMPUTED_VALUE"""),"2ND")</f>
        <v>2ND</v>
      </c>
      <c r="H211" s="8" t="str">
        <f>IFERROR(__xludf.DUMMYFUNCTION("""COMPUTED_VALUE"""),"OH REGIONAL BS 38")</f>
        <v>OH REGIONAL BS 38</v>
      </c>
      <c r="I211" s="9">
        <f>IFERROR(__xludf.DUMMYFUNCTION("""COMPUTED_VALUE"""),45444.0)</f>
        <v>45444</v>
      </c>
      <c r="J211" s="9">
        <f>IFERROR(__xludf.DUMMYFUNCTION("""COMPUTED_VALUE"""),46539.0)</f>
        <v>46539</v>
      </c>
      <c r="K211" s="10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7" t="str">
        <f>IFERROR(__xludf.DUMMYFUNCTION("""COMPUTED_VALUE"""),"VAN BEEK")</f>
        <v>VAN BEEK</v>
      </c>
      <c r="B212" s="8" t="str">
        <f>IFERROR(__xludf.DUMMYFUNCTION("""COMPUTED_VALUE"""),"MADISYN")</f>
        <v>MADISYN</v>
      </c>
      <c r="C212" s="8" t="str">
        <f>IFERROR(__xludf.DUMMYFUNCTION("""COMPUTED_VALUE"""),"MITCHELL")</f>
        <v>MITCHELL</v>
      </c>
      <c r="D212" s="8" t="str">
        <f>IFERROR(__xludf.DUMMYFUNCTION("""COMPUTED_VALUE"""),"SD")</f>
        <v>SD</v>
      </c>
      <c r="E212" s="8" t="str">
        <f>IFERROR(__xludf.DUMMYFUNCTION("""COMPUTED_VALUE"""),"USA")</f>
        <v>USA</v>
      </c>
      <c r="F212" s="8" t="str">
        <f>IFERROR(__xludf.DUMMYFUNCTION("""COMPUTED_VALUE"""),"WOMENS 301 DBLS")</f>
        <v>WOMENS 301 DBLS</v>
      </c>
      <c r="G212" s="8" t="str">
        <f>IFERROR(__xludf.DUMMYFUNCTION("""COMPUTED_VALUE"""),"1")</f>
        <v>1</v>
      </c>
      <c r="H212" s="8" t="str">
        <f>IFERROR(__xludf.DUMMYFUNCTION("""COMPUTED_VALUE"""),"BS 37 NE")</f>
        <v>BS 37 NE</v>
      </c>
      <c r="I212" s="9">
        <f>IFERROR(__xludf.DUMMYFUNCTION("""COMPUTED_VALUE"""),45078.0)</f>
        <v>45078</v>
      </c>
      <c r="J212" s="9">
        <f>IFERROR(__xludf.DUMMYFUNCTION("""COMPUTED_VALUE"""),46174.0)</f>
        <v>46174</v>
      </c>
      <c r="K212" s="10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7" t="str">
        <f>IFERROR(__xludf.DUMMYFUNCTION("""COMPUTED_VALUE"""),"VANDER LEEST")</f>
        <v>VANDER LEEST</v>
      </c>
      <c r="B213" s="8" t="str">
        <f>IFERROR(__xludf.DUMMYFUNCTION("""COMPUTED_VALUE"""),"SAVANNAH")</f>
        <v>SAVANNAH</v>
      </c>
      <c r="C213" s="8" t="str">
        <f>IFERROR(__xludf.DUMMYFUNCTION("""COMPUTED_VALUE"""),"RACINE")</f>
        <v>RACINE</v>
      </c>
      <c r="D213" s="8" t="str">
        <f>IFERROR(__xludf.DUMMYFUNCTION("""COMPUTED_VALUE"""),"WI")</f>
        <v>WI</v>
      </c>
      <c r="E213" s="8" t="str">
        <f>IFERROR(__xludf.DUMMYFUNCTION("""COMPUTED_VALUE"""),"USA")</f>
        <v>USA</v>
      </c>
      <c r="F213" s="8" t="str">
        <f>IFERROR(__xludf.DUMMYFUNCTION("""COMPUTED_VALUE"""),"WOMEN B 301 DBLS")</f>
        <v>WOMEN B 301 DBLS</v>
      </c>
      <c r="G213" s="8" t="str">
        <f>IFERROR(__xludf.DUMMYFUNCTION("""COMPUTED_VALUE"""),"4")</f>
        <v>4</v>
      </c>
      <c r="H213" s="8" t="str">
        <f>IFERROR(__xludf.DUMMYFUNCTION("""COMPUTED_VALUE"""),"BS 37 FINALS")</f>
        <v>BS 37 FINALS</v>
      </c>
      <c r="I213" s="9">
        <f>IFERROR(__xludf.DUMMYFUNCTION("""COMPUTED_VALUE"""),45078.0)</f>
        <v>45078</v>
      </c>
      <c r="J213" s="9">
        <f>IFERROR(__xludf.DUMMYFUNCTION("""COMPUTED_VALUE"""),46174.0)</f>
        <v>46174</v>
      </c>
      <c r="K213" s="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7" t="str">
        <f>IFERROR(__xludf.DUMMYFUNCTION("""COMPUTED_VALUE"""),"VIBERT")</f>
        <v>VIBERT</v>
      </c>
      <c r="B214" s="8" t="str">
        <f>IFERROR(__xludf.DUMMYFUNCTION("""COMPUTED_VALUE"""),"SOPHIE")</f>
        <v>SOPHIE</v>
      </c>
      <c r="C214" s="8" t="str">
        <f>IFERROR(__xludf.DUMMYFUNCTION("""COMPUTED_VALUE"""),"SWANTON")</f>
        <v>SWANTON</v>
      </c>
      <c r="D214" s="8" t="str">
        <f>IFERROR(__xludf.DUMMYFUNCTION("""COMPUTED_VALUE"""),"VT")</f>
        <v>VT</v>
      </c>
      <c r="E214" s="8" t="str">
        <f>IFERROR(__xludf.DUMMYFUNCTION("""COMPUTED_VALUE"""),"USA")</f>
        <v>USA</v>
      </c>
      <c r="F214" s="8" t="str">
        <f>IFERROR(__xludf.DUMMYFUNCTION("""COMPUTED_VALUE"""),"MIXED TRIPLES 701")</f>
        <v>MIXED TRIPLES 701</v>
      </c>
      <c r="G214" s="8" t="str">
        <f>IFERROR(__xludf.DUMMYFUNCTION("""COMPUTED_VALUE"""),"2ND")</f>
        <v>2ND</v>
      </c>
      <c r="H214" s="8" t="str">
        <f>IFERROR(__xludf.DUMMYFUNCTION("""COMPUTED_VALUE"""),"BULLSHOOTER 36 FINALS")</f>
        <v>BULLSHOOTER 36 FINALS</v>
      </c>
      <c r="I214" s="9">
        <f>IFERROR(__xludf.DUMMYFUNCTION("""COMPUTED_VALUE"""),44713.0)</f>
        <v>44713</v>
      </c>
      <c r="J214" s="9">
        <f>IFERROR(__xludf.DUMMYFUNCTION("""COMPUTED_VALUE"""),45809.0)</f>
        <v>45809</v>
      </c>
      <c r="K214" s="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7" t="str">
        <f>IFERROR(__xludf.DUMMYFUNCTION("""COMPUTED_VALUE"""),"WAGNOR")</f>
        <v>WAGNOR</v>
      </c>
      <c r="B215" s="8" t="str">
        <f>IFERROR(__xludf.DUMMYFUNCTION("""COMPUTED_VALUE"""),"CRYSTAL")</f>
        <v>CRYSTAL</v>
      </c>
      <c r="C215" s="8" t="str">
        <f>IFERROR(__xludf.DUMMYFUNCTION("""COMPUTED_VALUE"""),"UNION MILLS")</f>
        <v>UNION MILLS</v>
      </c>
      <c r="D215" s="8" t="str">
        <f>IFERROR(__xludf.DUMMYFUNCTION("""COMPUTED_VALUE"""),"IN")</f>
        <v>IN</v>
      </c>
      <c r="E215" s="8" t="str">
        <f>IFERROR(__xludf.DUMMYFUNCTION("""COMPUTED_VALUE"""),"USA")</f>
        <v>USA</v>
      </c>
      <c r="F215" s="8" t="str">
        <f>IFERROR(__xludf.DUMMYFUNCTION("""COMPUTED_VALUE"""),"WOMEN SNG COMBO")</f>
        <v>WOMEN SNG COMBO</v>
      </c>
      <c r="G215" s="8" t="str">
        <f>IFERROR(__xludf.DUMMYFUNCTION("""COMPUTED_VALUE"""),"1ST")</f>
        <v>1ST</v>
      </c>
      <c r="H215" s="8" t="str">
        <f>IFERROR(__xludf.DUMMYFUNCTION("""COMPUTED_VALUE"""),"MI REGIONAL BS 38")</f>
        <v>MI REGIONAL BS 38</v>
      </c>
      <c r="I215" s="9">
        <f>IFERROR(__xludf.DUMMYFUNCTION("""COMPUTED_VALUE"""),45444.0)</f>
        <v>45444</v>
      </c>
      <c r="J215" s="9">
        <f>IFERROR(__xludf.DUMMYFUNCTION("""COMPUTED_VALUE"""),46539.0)</f>
        <v>46539</v>
      </c>
      <c r="K215" s="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7" t="str">
        <f>IFERROR(__xludf.DUMMYFUNCTION("""COMPUTED_VALUE"""),"WAREHAM")</f>
        <v>WAREHAM</v>
      </c>
      <c r="B216" s="8" t="str">
        <f>IFERROR(__xludf.DUMMYFUNCTION("""COMPUTED_VALUE"""),"ELIZABETH")</f>
        <v>ELIZABETH</v>
      </c>
      <c r="C216" s="8" t="str">
        <f>IFERROR(__xludf.DUMMYFUNCTION("""COMPUTED_VALUE"""),"CEDAR RAPIDS")</f>
        <v>CEDAR RAPIDS</v>
      </c>
      <c r="D216" s="8" t="str">
        <f>IFERROR(__xludf.DUMMYFUNCTION("""COMPUTED_VALUE"""),"IA")</f>
        <v>IA</v>
      </c>
      <c r="E216" s="8" t="str">
        <f>IFERROR(__xludf.DUMMYFUNCTION("""COMPUTED_VALUE"""),"USA")</f>
        <v>USA</v>
      </c>
      <c r="F216" s="8" t="str">
        <f>IFERROR(__xludf.DUMMYFUNCTION("""COMPUTED_VALUE"""),"WOMEN DBLS 301")</f>
        <v>WOMEN DBLS 301</v>
      </c>
      <c r="G216" s="8" t="str">
        <f>IFERROR(__xludf.DUMMYFUNCTION("""COMPUTED_VALUE"""),"1ST")</f>
        <v>1ST</v>
      </c>
      <c r="H216" s="8" t="str">
        <f>IFERROR(__xludf.DUMMYFUNCTION("""COMPUTED_VALUE"""),"NE REGIONAL BS 38")</f>
        <v>NE REGIONAL BS 38</v>
      </c>
      <c r="I216" s="9">
        <f>IFERROR(__xludf.DUMMYFUNCTION("""COMPUTED_VALUE"""),45444.0)</f>
        <v>45444</v>
      </c>
      <c r="J216" s="9">
        <f>IFERROR(__xludf.DUMMYFUNCTION("""COMPUTED_VALUE"""),46539.0)</f>
        <v>46539</v>
      </c>
      <c r="K216" s="10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7" t="str">
        <f>IFERROR(__xludf.DUMMYFUNCTION("""COMPUTED_VALUE"""),"Warmack")</f>
        <v>Warmack</v>
      </c>
      <c r="B217" s="8" t="str">
        <f>IFERROR(__xludf.DUMMYFUNCTION("""COMPUTED_VALUE"""),"Dani")</f>
        <v>Dani</v>
      </c>
      <c r="C217" s="8"/>
      <c r="D217" s="8"/>
      <c r="E217" s="8" t="str">
        <f>IFERROR(__xludf.DUMMYFUNCTION("""COMPUTED_VALUE"""),"USA")</f>
        <v>USA</v>
      </c>
      <c r="F217" s="8"/>
      <c r="G217" s="8"/>
      <c r="H217" s="8" t="str">
        <f>IFERROR(__xludf.DUMMYFUNCTION("""COMPUTED_VALUE"""),"ADO Top 25 2020")</f>
        <v>ADO Top 25 2020</v>
      </c>
      <c r="I217" s="9">
        <f>IFERROR(__xludf.DUMMYFUNCTION("""COMPUTED_VALUE"""),44348.0)</f>
        <v>44348</v>
      </c>
      <c r="J217" s="9">
        <f>IFERROR(__xludf.DUMMYFUNCTION("""COMPUTED_VALUE"""),46539.0)</f>
        <v>46539</v>
      </c>
      <c r="K217" s="10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7" t="str">
        <f>IFERROR(__xludf.DUMMYFUNCTION("""COMPUTED_VALUE"""),"WASHINGTON")</f>
        <v>WASHINGTON</v>
      </c>
      <c r="B218" s="8" t="str">
        <f>IFERROR(__xludf.DUMMYFUNCTION("""COMPUTED_VALUE"""),"DAWN")</f>
        <v>DAWN</v>
      </c>
      <c r="C218" s="8" t="str">
        <f>IFERROR(__xludf.DUMMYFUNCTION("""COMPUTED_VALUE"""),"MISSOURI CITY")</f>
        <v>MISSOURI CITY</v>
      </c>
      <c r="D218" s="8" t="str">
        <f>IFERROR(__xludf.DUMMYFUNCTION("""COMPUTED_VALUE"""),"TX")</f>
        <v>TX</v>
      </c>
      <c r="E218" s="8" t="str">
        <f>IFERROR(__xludf.DUMMYFUNCTION("""COMPUTED_VALUE"""),"USA")</f>
        <v>USA</v>
      </c>
      <c r="F218" s="8" t="str">
        <f>IFERROR(__xludf.DUMMYFUNCTION("""COMPUTED_VALUE"""),"WOMENS SNG COMBO")</f>
        <v>WOMENS SNG COMBO</v>
      </c>
      <c r="G218" s="8" t="str">
        <f>IFERROR(__xludf.DUMMYFUNCTION("""COMPUTED_VALUE"""),"1ST")</f>
        <v>1ST</v>
      </c>
      <c r="H218" s="8" t="str">
        <f>IFERROR(__xludf.DUMMYFUNCTION("""COMPUTED_VALUE"""),"TX REGIONAL BS 38")</f>
        <v>TX REGIONAL BS 38</v>
      </c>
      <c r="I218" s="9">
        <f>IFERROR(__xludf.DUMMYFUNCTION("""COMPUTED_VALUE"""),45444.0)</f>
        <v>45444</v>
      </c>
      <c r="J218" s="9">
        <f>IFERROR(__xludf.DUMMYFUNCTION("""COMPUTED_VALUE"""),46539.0)</f>
        <v>46539</v>
      </c>
      <c r="K218" s="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7" t="str">
        <f>IFERROR(__xludf.DUMMYFUNCTION("""COMPUTED_VALUE"""),"WATSON")</f>
        <v>WATSON</v>
      </c>
      <c r="B219" s="8" t="str">
        <f>IFERROR(__xludf.DUMMYFUNCTION("""COMPUTED_VALUE"""),"MEGAN")</f>
        <v>MEGAN</v>
      </c>
      <c r="C219" s="8" t="str">
        <f>IFERROR(__xludf.DUMMYFUNCTION("""COMPUTED_VALUE"""),"SPRING HILL")</f>
        <v>SPRING HILL</v>
      </c>
      <c r="D219" s="8" t="str">
        <f>IFERROR(__xludf.DUMMYFUNCTION("""COMPUTED_VALUE"""),"FL")</f>
        <v>FL</v>
      </c>
      <c r="E219" s="8" t="str">
        <f>IFERROR(__xludf.DUMMYFUNCTION("""COMPUTED_VALUE"""),"USA")</f>
        <v>USA</v>
      </c>
      <c r="F219" s="8" t="str">
        <f>IFERROR(__xludf.DUMMYFUNCTION("""COMPUTED_VALUE"""),"WOMENS DBLS COMBO")</f>
        <v>WOMENS DBLS COMBO</v>
      </c>
      <c r="G219" s="8" t="str">
        <f>IFERROR(__xludf.DUMMYFUNCTION("""COMPUTED_VALUE"""),"3RD")</f>
        <v>3RD</v>
      </c>
      <c r="H219" s="8" t="str">
        <f>IFERROR(__xludf.DUMMYFUNCTION("""COMPUTED_VALUE"""),"FL REGIONAL BS 38")</f>
        <v>FL REGIONAL BS 38</v>
      </c>
      <c r="I219" s="9">
        <f>IFERROR(__xludf.DUMMYFUNCTION("""COMPUTED_VALUE"""),45444.0)</f>
        <v>45444</v>
      </c>
      <c r="J219" s="9">
        <f>IFERROR(__xludf.DUMMYFUNCTION("""COMPUTED_VALUE"""),46539.0)</f>
        <v>46539</v>
      </c>
      <c r="K219" s="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7" t="str">
        <f>IFERROR(__xludf.DUMMYFUNCTION("""COMPUTED_VALUE"""),"WERNETTE")</f>
        <v>WERNETTE</v>
      </c>
      <c r="B220" s="8" t="str">
        <f>IFERROR(__xludf.DUMMYFUNCTION("""COMPUTED_VALUE"""),"ASHLEY")</f>
        <v>ASHLEY</v>
      </c>
      <c r="C220" s="8" t="str">
        <f>IFERROR(__xludf.DUMMYFUNCTION("""COMPUTED_VALUE"""),"MT PLEASANT")</f>
        <v>MT PLEASANT</v>
      </c>
      <c r="D220" s="8" t="str">
        <f>IFERROR(__xludf.DUMMYFUNCTION("""COMPUTED_VALUE"""),"MI")</f>
        <v>MI</v>
      </c>
      <c r="E220" s="8" t="str">
        <f>IFERROR(__xludf.DUMMYFUNCTION("""COMPUTED_VALUE"""),"USA")</f>
        <v>USA</v>
      </c>
      <c r="F220" s="8" t="str">
        <f>IFERROR(__xludf.DUMMYFUNCTION("""COMPUTED_VALUE"""),"WOMEN B DBLS 301")</f>
        <v>WOMEN B DBLS 301</v>
      </c>
      <c r="G220" s="8" t="str">
        <f>IFERROR(__xludf.DUMMYFUNCTION("""COMPUTED_VALUE"""),"4TH")</f>
        <v>4TH</v>
      </c>
      <c r="H220" s="8" t="str">
        <f>IFERROR(__xludf.DUMMYFUNCTION("""COMPUTED_VALUE"""),"BS 38 FINALS")</f>
        <v>BS 38 FINALS</v>
      </c>
      <c r="I220" s="9">
        <f>IFERROR(__xludf.DUMMYFUNCTION("""COMPUTED_VALUE"""),45444.0)</f>
        <v>45444</v>
      </c>
      <c r="J220" s="9">
        <f>IFERROR(__xludf.DUMMYFUNCTION("""COMPUTED_VALUE"""),46539.0)</f>
        <v>46539</v>
      </c>
      <c r="K220" s="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7" t="str">
        <f>IFERROR(__xludf.DUMMYFUNCTION("""COMPUTED_VALUE"""),"WESCOTT")</f>
        <v>WESCOTT</v>
      </c>
      <c r="B221" s="8" t="str">
        <f>IFERROR(__xludf.DUMMYFUNCTION("""COMPUTED_VALUE"""),"REBECCA")</f>
        <v>REBECCA</v>
      </c>
      <c r="C221" s="8" t="str">
        <f>IFERROR(__xludf.DUMMYFUNCTION("""COMPUTED_VALUE"""),"BELEVUE")</f>
        <v>BELEVUE</v>
      </c>
      <c r="D221" s="8" t="str">
        <f>IFERROR(__xludf.DUMMYFUNCTION("""COMPUTED_VALUE"""),"NE")</f>
        <v>NE</v>
      </c>
      <c r="E221" s="8" t="str">
        <f>IFERROR(__xludf.DUMMYFUNCTION("""COMPUTED_VALUE"""),"USA")</f>
        <v>USA</v>
      </c>
      <c r="F221" s="8" t="str">
        <f>IFERROR(__xludf.DUMMYFUNCTION("""COMPUTED_VALUE"""),"WOMEN DBLS 301")</f>
        <v>WOMEN DBLS 301</v>
      </c>
      <c r="G221" s="8" t="str">
        <f>IFERROR(__xludf.DUMMYFUNCTION("""COMPUTED_VALUE"""),"2ND")</f>
        <v>2ND</v>
      </c>
      <c r="H221" s="8" t="str">
        <f>IFERROR(__xludf.DUMMYFUNCTION("""COMPUTED_VALUE"""),"NE REGIONAL BS 38")</f>
        <v>NE REGIONAL BS 38</v>
      </c>
      <c r="I221" s="9">
        <f>IFERROR(__xludf.DUMMYFUNCTION("""COMPUTED_VALUE"""),45444.0)</f>
        <v>45444</v>
      </c>
      <c r="J221" s="9">
        <f>IFERROR(__xludf.DUMMYFUNCTION("""COMPUTED_VALUE"""),46539.0)</f>
        <v>46539</v>
      </c>
      <c r="K221" s="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7" t="str">
        <f>IFERROR(__xludf.DUMMYFUNCTION("""COMPUTED_VALUE"""),"WHITE")</f>
        <v>WHITE</v>
      </c>
      <c r="B222" s="8" t="str">
        <f>IFERROR(__xludf.DUMMYFUNCTION("""COMPUTED_VALUE"""),"LAURI")</f>
        <v>LAURI</v>
      </c>
      <c r="C222" s="8" t="str">
        <f>IFERROR(__xludf.DUMMYFUNCTION("""COMPUTED_VALUE"""),"MILLERSPORT")</f>
        <v>MILLERSPORT</v>
      </c>
      <c r="D222" s="8" t="str">
        <f>IFERROR(__xludf.DUMMYFUNCTION("""COMPUTED_VALUE"""),"OH")</f>
        <v>OH</v>
      </c>
      <c r="E222" s="8" t="str">
        <f>IFERROR(__xludf.DUMMYFUNCTION("""COMPUTED_VALUE"""),"USA")</f>
        <v>USA</v>
      </c>
      <c r="F222" s="8" t="str">
        <f>IFERROR(__xludf.DUMMYFUNCTION("""COMPUTED_VALUE"""),"WOMEN DBLS 301")</f>
        <v>WOMEN DBLS 301</v>
      </c>
      <c r="G222" s="8" t="str">
        <f>IFERROR(__xludf.DUMMYFUNCTION("""COMPUTED_VALUE"""),"2ND")</f>
        <v>2ND</v>
      </c>
      <c r="H222" s="8" t="str">
        <f>IFERROR(__xludf.DUMMYFUNCTION("""COMPUTED_VALUE"""),"PA REGIONAL BS 38")</f>
        <v>PA REGIONAL BS 38</v>
      </c>
      <c r="I222" s="9">
        <f>IFERROR(__xludf.DUMMYFUNCTION("""COMPUTED_VALUE"""),45444.0)</f>
        <v>45444</v>
      </c>
      <c r="J222" s="9">
        <f>IFERROR(__xludf.DUMMYFUNCTION("""COMPUTED_VALUE"""),46539.0)</f>
        <v>46539</v>
      </c>
      <c r="K222" s="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7" t="str">
        <f>IFERROR(__xludf.DUMMYFUNCTION("""COMPUTED_VALUE"""),"Wickersham")</f>
        <v>Wickersham</v>
      </c>
      <c r="B223" s="8" t="str">
        <f>IFERROR(__xludf.DUMMYFUNCTION("""COMPUTED_VALUE"""),"Teresa")</f>
        <v>Teresa</v>
      </c>
      <c r="C223" s="8" t="str">
        <f>IFERROR(__xludf.DUMMYFUNCTION("""COMPUTED_VALUE"""),"SAN ANTONIO")</f>
        <v>SAN ANTONIO</v>
      </c>
      <c r="D223" s="8" t="str">
        <f>IFERROR(__xludf.DUMMYFUNCTION("""COMPUTED_VALUE"""),"TX")</f>
        <v>TX</v>
      </c>
      <c r="E223" s="8" t="str">
        <f>IFERROR(__xludf.DUMMYFUNCTION("""COMPUTED_VALUE"""),"USA")</f>
        <v>USA</v>
      </c>
      <c r="F223" s="8" t="str">
        <f>IFERROR(__xludf.DUMMYFUNCTION("""COMPUTED_VALUE"""),"WOMENS DBLS 301")</f>
        <v>WOMENS DBLS 301</v>
      </c>
      <c r="G223" s="8" t="str">
        <f>IFERROR(__xludf.DUMMYFUNCTION("""COMPUTED_VALUE"""),"1ST")</f>
        <v>1ST</v>
      </c>
      <c r="H223" s="8" t="str">
        <f>IFERROR(__xludf.DUMMYFUNCTION("""COMPUTED_VALUE"""),"TX REGIONAL BS 36")</f>
        <v>TX REGIONAL BS 36</v>
      </c>
      <c r="I223" s="9">
        <f>IFERROR(__xludf.DUMMYFUNCTION("""COMPUTED_VALUE"""),44713.0)</f>
        <v>44713</v>
      </c>
      <c r="J223" s="9">
        <f>IFERROR(__xludf.DUMMYFUNCTION("""COMPUTED_VALUE"""),45809.0)</f>
        <v>45809</v>
      </c>
      <c r="K223" s="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7" t="str">
        <f>IFERROR(__xludf.DUMMYFUNCTION("""COMPUTED_VALUE"""),"WILLIAMS")</f>
        <v>WILLIAMS</v>
      </c>
      <c r="B224" s="8" t="str">
        <f>IFERROR(__xludf.DUMMYFUNCTION("""COMPUTED_VALUE"""),"MAUREEN")</f>
        <v>MAUREEN</v>
      </c>
      <c r="C224" s="8" t="str">
        <f>IFERROR(__xludf.DUMMYFUNCTION("""COMPUTED_VALUE"""),"WILMINGTON")</f>
        <v>WILMINGTON</v>
      </c>
      <c r="D224" s="8" t="str">
        <f>IFERROR(__xludf.DUMMYFUNCTION("""COMPUTED_VALUE"""),"NC")</f>
        <v>NC</v>
      </c>
      <c r="E224" s="8" t="str">
        <f>IFERROR(__xludf.DUMMYFUNCTION("""COMPUTED_VALUE"""),"USA")</f>
        <v>USA</v>
      </c>
      <c r="F224" s="8" t="str">
        <f>IFERROR(__xludf.DUMMYFUNCTION("""COMPUTED_VALUE"""),"WOMENS 301 DBLS")</f>
        <v>WOMENS 301 DBLS</v>
      </c>
      <c r="G224" s="8" t="str">
        <f>IFERROR(__xludf.DUMMYFUNCTION("""COMPUTED_VALUE"""),"2")</f>
        <v>2</v>
      </c>
      <c r="H224" s="8" t="str">
        <f>IFERROR(__xludf.DUMMYFUNCTION("""COMPUTED_VALUE"""),"BS 37 SC")</f>
        <v>BS 37 SC</v>
      </c>
      <c r="I224" s="9">
        <f>IFERROR(__xludf.DUMMYFUNCTION("""COMPUTED_VALUE"""),45078.0)</f>
        <v>45078</v>
      </c>
      <c r="J224" s="9">
        <f>IFERROR(__xludf.DUMMYFUNCTION("""COMPUTED_VALUE"""),46174.0)</f>
        <v>46174</v>
      </c>
      <c r="K224" s="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7" t="str">
        <f>IFERROR(__xludf.DUMMYFUNCTION("""COMPUTED_VALUE"""),"WOMBLE")</f>
        <v>WOMBLE</v>
      </c>
      <c r="B225" s="8" t="str">
        <f>IFERROR(__xludf.DUMMYFUNCTION("""COMPUTED_VALUE"""),"MARQUISE")</f>
        <v>MARQUISE</v>
      </c>
      <c r="C225" s="8" t="str">
        <f>IFERROR(__xludf.DUMMYFUNCTION("""COMPUTED_VALUE"""),"APPLETON")</f>
        <v>APPLETON</v>
      </c>
      <c r="D225" s="8" t="str">
        <f>IFERROR(__xludf.DUMMYFUNCTION("""COMPUTED_VALUE"""),"WI")</f>
        <v>WI</v>
      </c>
      <c r="E225" s="8" t="str">
        <f>IFERROR(__xludf.DUMMYFUNCTION("""COMPUTED_VALUE"""),"USA")</f>
        <v>USA</v>
      </c>
      <c r="F225" s="8" t="str">
        <f>IFERROR(__xludf.DUMMYFUNCTION("""COMPUTED_VALUE"""),"WOMEN B DBLS 301")</f>
        <v>WOMEN B DBLS 301</v>
      </c>
      <c r="G225" s="8" t="str">
        <f>IFERROR(__xludf.DUMMYFUNCTION("""COMPUTED_VALUE"""),"2ND")</f>
        <v>2ND</v>
      </c>
      <c r="H225" s="8" t="str">
        <f>IFERROR(__xludf.DUMMYFUNCTION("""COMPUTED_VALUE"""),"BS 38 FINALS")</f>
        <v>BS 38 FINALS</v>
      </c>
      <c r="I225" s="9">
        <f>IFERROR(__xludf.DUMMYFUNCTION("""COMPUTED_VALUE"""),45444.0)</f>
        <v>45444</v>
      </c>
      <c r="J225" s="9">
        <f>IFERROR(__xludf.DUMMYFUNCTION("""COMPUTED_VALUE"""),46539.0)</f>
        <v>46539</v>
      </c>
      <c r="K225" s="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7" t="str">
        <f>IFERROR(__xludf.DUMMYFUNCTION("""COMPUTED_VALUE"""),"Woods")</f>
        <v>Woods</v>
      </c>
      <c r="B226" s="8" t="str">
        <f>IFERROR(__xludf.DUMMYFUNCTION("""COMPUTED_VALUE"""),"ELISSA")</f>
        <v>ELISSA</v>
      </c>
      <c r="C226" s="8" t="str">
        <f>IFERROR(__xludf.DUMMYFUNCTION("""COMPUTED_VALUE"""),"MT ZION")</f>
        <v>MT ZION</v>
      </c>
      <c r="D226" s="8" t="str">
        <f>IFERROR(__xludf.DUMMYFUNCTION("""COMPUTED_VALUE"""),"IL")</f>
        <v>IL</v>
      </c>
      <c r="E226" s="8" t="str">
        <f>IFERROR(__xludf.DUMMYFUNCTION("""COMPUTED_VALUE"""),"USA")</f>
        <v>USA</v>
      </c>
      <c r="F226" s="8" t="str">
        <f>IFERROR(__xludf.DUMMYFUNCTION("""COMPUTED_VALUE"""),"WOMEN DBLS COMBO")</f>
        <v>WOMEN DBLS COMBO</v>
      </c>
      <c r="G226" s="8" t="str">
        <f>IFERROR(__xludf.DUMMYFUNCTION("""COMPUTED_VALUE"""),"3RD")</f>
        <v>3RD</v>
      </c>
      <c r="H226" s="8" t="str">
        <f>IFERROR(__xludf.DUMMYFUNCTION("""COMPUTED_VALUE"""),"SC REGIONAL BS 38")</f>
        <v>SC REGIONAL BS 38</v>
      </c>
      <c r="I226" s="9">
        <f>IFERROR(__xludf.DUMMYFUNCTION("""COMPUTED_VALUE"""),45444.0)</f>
        <v>45444</v>
      </c>
      <c r="J226" s="9">
        <f>IFERROR(__xludf.DUMMYFUNCTION("""COMPUTED_VALUE"""),46539.0)</f>
        <v>46539</v>
      </c>
      <c r="K226" s="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7" t="str">
        <f>IFERROR(__xludf.DUMMYFUNCTION("""COMPUTED_VALUE"""),"WRIGHT")</f>
        <v>WRIGHT</v>
      </c>
      <c r="B227" s="8" t="str">
        <f>IFERROR(__xludf.DUMMYFUNCTION("""COMPUTED_VALUE"""),"MICHELLA")</f>
        <v>MICHELLA</v>
      </c>
      <c r="C227" s="8" t="str">
        <f>IFERROR(__xludf.DUMMYFUNCTION("""COMPUTED_VALUE"""),"PORT ST. LUCIE")</f>
        <v>PORT ST. LUCIE</v>
      </c>
      <c r="D227" s="8" t="str">
        <f>IFERROR(__xludf.DUMMYFUNCTION("""COMPUTED_VALUE"""),"FL")</f>
        <v>FL</v>
      </c>
      <c r="E227" s="8" t="str">
        <f>IFERROR(__xludf.DUMMYFUNCTION("""COMPUTED_VALUE"""),"USA")</f>
        <v>USA</v>
      </c>
      <c r="F227" s="8" t="str">
        <f>IFERROR(__xludf.DUMMYFUNCTION("""COMPUTED_VALUE"""),"WOMENS DBLS COMBO")</f>
        <v>WOMENS DBLS COMBO</v>
      </c>
      <c r="G227" s="8" t="str">
        <f>IFERROR(__xludf.DUMMYFUNCTION("""COMPUTED_VALUE"""),"2ND")</f>
        <v>2ND</v>
      </c>
      <c r="H227" s="8" t="str">
        <f>IFERROR(__xludf.DUMMYFUNCTION("""COMPUTED_VALUE"""),"FL REGIONAL BS 36")</f>
        <v>FL REGIONAL BS 36</v>
      </c>
      <c r="I227" s="9">
        <f>IFERROR(__xludf.DUMMYFUNCTION("""COMPUTED_VALUE"""),44713.0)</f>
        <v>44713</v>
      </c>
      <c r="J227" s="9">
        <f>IFERROR(__xludf.DUMMYFUNCTION("""COMPUTED_VALUE"""),45809.0)</f>
        <v>45809</v>
      </c>
      <c r="K227" s="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7" t="str">
        <f>IFERROR(__xludf.DUMMYFUNCTION("""COMPUTED_VALUE"""),"Wyatt")</f>
        <v>Wyatt</v>
      </c>
      <c r="B228" s="8" t="str">
        <f>IFERROR(__xludf.DUMMYFUNCTION("""COMPUTED_VALUE"""),"Amber")</f>
        <v>Amber</v>
      </c>
      <c r="C228" s="8" t="str">
        <f>IFERROR(__xludf.DUMMYFUNCTION("""COMPUTED_VALUE"""),"Jacksonville")</f>
        <v>Jacksonville</v>
      </c>
      <c r="D228" s="8" t="str">
        <f>IFERROR(__xludf.DUMMYFUNCTION("""COMPUTED_VALUE"""),"FL")</f>
        <v>FL</v>
      </c>
      <c r="E228" s="8" t="str">
        <f>IFERROR(__xludf.DUMMYFUNCTION("""COMPUTED_VALUE"""),"USA")</f>
        <v>USA</v>
      </c>
      <c r="F228" s="8" t="str">
        <f>IFERROR(__xludf.DUMMYFUNCTION("""COMPUTED_VALUE"""),"WOMENS SINGLES COMBO")</f>
        <v>WOMENS SINGLES COMBO</v>
      </c>
      <c r="G228" s="8" t="str">
        <f>IFERROR(__xludf.DUMMYFUNCTION("""COMPUTED_VALUE"""),"3RD")</f>
        <v>3RD</v>
      </c>
      <c r="H228" s="8" t="str">
        <f>IFERROR(__xludf.DUMMYFUNCTION("""COMPUTED_VALUE"""),"FL REGIONAL BS 36")</f>
        <v>FL REGIONAL BS 36</v>
      </c>
      <c r="I228" s="9">
        <f>IFERROR(__xludf.DUMMYFUNCTION("""COMPUTED_VALUE"""),44713.0)</f>
        <v>44713</v>
      </c>
      <c r="J228" s="9">
        <f>IFERROR(__xludf.DUMMYFUNCTION("""COMPUTED_VALUE"""),45809.0)</f>
        <v>45809</v>
      </c>
      <c r="K228" s="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7" t="str">
        <f>IFERROR(__xludf.DUMMYFUNCTION("""COMPUTED_VALUE"""),"YARDLEY")</f>
        <v>YARDLEY</v>
      </c>
      <c r="B229" s="8" t="str">
        <f>IFERROR(__xludf.DUMMYFUNCTION("""COMPUTED_VALUE"""),"CATHY")</f>
        <v>CATHY</v>
      </c>
      <c r="C229" s="8" t="str">
        <f>IFERROR(__xludf.DUMMYFUNCTION("""COMPUTED_VALUE"""),"CENTRALIA")</f>
        <v>CENTRALIA</v>
      </c>
      <c r="D229" s="8" t="str">
        <f>IFERROR(__xludf.DUMMYFUNCTION("""COMPUTED_VALUE"""),"IL")</f>
        <v>IL</v>
      </c>
      <c r="E229" s="8" t="str">
        <f>IFERROR(__xludf.DUMMYFUNCTION("""COMPUTED_VALUE"""),"USA")</f>
        <v>USA</v>
      </c>
      <c r="F229" s="8" t="str">
        <f>IFERROR(__xludf.DUMMYFUNCTION("""COMPUTED_VALUE"""),"WOMENS DBLS 301")</f>
        <v>WOMENS DBLS 301</v>
      </c>
      <c r="G229" s="8" t="str">
        <f>IFERROR(__xludf.DUMMYFUNCTION("""COMPUTED_VALUE"""),"1")</f>
        <v>1</v>
      </c>
      <c r="H229" s="8" t="str">
        <f>IFERROR(__xludf.DUMMYFUNCTION("""COMPUTED_VALUE"""),"BS 37 IN")</f>
        <v>BS 37 IN</v>
      </c>
      <c r="I229" s="9">
        <f>IFERROR(__xludf.DUMMYFUNCTION("""COMPUTED_VALUE"""),45078.0)</f>
        <v>45078</v>
      </c>
      <c r="J229" s="9">
        <f>IFERROR(__xludf.DUMMYFUNCTION("""COMPUTED_VALUE"""),46174.0)</f>
        <v>46174</v>
      </c>
      <c r="K229" s="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7" t="str">
        <f>IFERROR(__xludf.DUMMYFUNCTION("""COMPUTED_VALUE"""),"YOUNG")</f>
        <v>YOUNG</v>
      </c>
      <c r="B230" s="8" t="str">
        <f>IFERROR(__xludf.DUMMYFUNCTION("""COMPUTED_VALUE"""),"TRACEY")</f>
        <v>TRACEY</v>
      </c>
      <c r="C230" s="8" t="str">
        <f>IFERROR(__xludf.DUMMYFUNCTION("""COMPUTED_VALUE"""),"MARYLAND HEIGHTS")</f>
        <v>MARYLAND HEIGHTS</v>
      </c>
      <c r="D230" s="8" t="str">
        <f>IFERROR(__xludf.DUMMYFUNCTION("""COMPUTED_VALUE"""),"MO")</f>
        <v>MO</v>
      </c>
      <c r="E230" s="8" t="str">
        <f>IFERROR(__xludf.DUMMYFUNCTION("""COMPUTED_VALUE"""),"USA")</f>
        <v>USA</v>
      </c>
      <c r="F230" s="8" t="str">
        <f>IFERROR(__xludf.DUMMYFUNCTION("""COMPUTED_VALUE"""),"TOP GUN WOMEN B SNG CRICKET")</f>
        <v>TOP GUN WOMEN B SNG CRICKET</v>
      </c>
      <c r="G230" s="8" t="str">
        <f>IFERROR(__xludf.DUMMYFUNCTION("""COMPUTED_VALUE"""),"1ST")</f>
        <v>1ST</v>
      </c>
      <c r="H230" s="8" t="str">
        <f>IFERROR(__xludf.DUMMYFUNCTION("""COMPUTED_VALUE"""),"BS 38 FINALS")</f>
        <v>BS 38 FINALS</v>
      </c>
      <c r="I230" s="9">
        <f>IFERROR(__xludf.DUMMYFUNCTION("""COMPUTED_VALUE"""),45444.0)</f>
        <v>45444</v>
      </c>
      <c r="J230" s="9">
        <f>IFERROR(__xludf.DUMMYFUNCTION("""COMPUTED_VALUE"""),46539.0)</f>
        <v>46539</v>
      </c>
      <c r="K230" s="10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7" t="str">
        <f>IFERROR(__xludf.DUMMYFUNCTION("""COMPUTED_VALUE"""),"ZAIS")</f>
        <v>ZAIS</v>
      </c>
      <c r="B231" s="8" t="str">
        <f>IFERROR(__xludf.DUMMYFUNCTION("""COMPUTED_VALUE"""),"ANITA")</f>
        <v>ANITA</v>
      </c>
      <c r="C231" s="8" t="str">
        <f>IFERROR(__xludf.DUMMYFUNCTION("""COMPUTED_VALUE"""),"HOUSTON")</f>
        <v>HOUSTON</v>
      </c>
      <c r="D231" s="8" t="str">
        <f>IFERROR(__xludf.DUMMYFUNCTION("""COMPUTED_VALUE"""),"TX")</f>
        <v>TX</v>
      </c>
      <c r="E231" s="8" t="str">
        <f>IFERROR(__xludf.DUMMYFUNCTION("""COMPUTED_VALUE"""),"USA")</f>
        <v>USA</v>
      </c>
      <c r="F231" s="8" t="str">
        <f>IFERROR(__xludf.DUMMYFUNCTION("""COMPUTED_VALUE"""),"WOMENS 301 DBLS")</f>
        <v>WOMENS 301 DBLS</v>
      </c>
      <c r="G231" s="8" t="str">
        <f>IFERROR(__xludf.DUMMYFUNCTION("""COMPUTED_VALUE"""),"3")</f>
        <v>3</v>
      </c>
      <c r="H231" s="8" t="str">
        <f>IFERROR(__xludf.DUMMYFUNCTION("""COMPUTED_VALUE"""),"BS 37 TX")</f>
        <v>BS 37 TX</v>
      </c>
      <c r="I231" s="9">
        <f>IFERROR(__xludf.DUMMYFUNCTION("""COMPUTED_VALUE"""),45078.0)</f>
        <v>45078</v>
      </c>
      <c r="J231" s="9">
        <f>IFERROR(__xludf.DUMMYFUNCTION("""COMPUTED_VALUE"""),46174.0)</f>
        <v>46174</v>
      </c>
      <c r="K231" s="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7" t="str">
        <f>IFERROR(__xludf.DUMMYFUNCTION("""COMPUTED_VALUE"""),"ZENNER")</f>
        <v>ZENNER</v>
      </c>
      <c r="B232" s="8" t="str">
        <f>IFERROR(__xludf.DUMMYFUNCTION("""COMPUTED_VALUE"""),"ASHLEY")</f>
        <v>ASHLEY</v>
      </c>
      <c r="C232" s="8" t="str">
        <f>IFERROR(__xludf.DUMMYFUNCTION("""COMPUTED_VALUE"""),"LEWISTON")</f>
        <v>LEWISTON</v>
      </c>
      <c r="D232" s="8" t="str">
        <f>IFERROR(__xludf.DUMMYFUNCTION("""COMPUTED_VALUE"""),"ID")</f>
        <v>ID</v>
      </c>
      <c r="E232" s="8" t="str">
        <f>IFERROR(__xludf.DUMMYFUNCTION("""COMPUTED_VALUE"""),"USA")</f>
        <v>USA</v>
      </c>
      <c r="F232" s="8" t="str">
        <f>IFERROR(__xludf.DUMMYFUNCTION("""COMPUTED_VALUE"""),"WOMENS B DBLS CRICKET")</f>
        <v>WOMENS B DBLS CRICKET</v>
      </c>
      <c r="G232" s="8" t="str">
        <f>IFERROR(__xludf.DUMMYFUNCTION("""COMPUTED_VALUE"""),"3RD")</f>
        <v>3RD</v>
      </c>
      <c r="H232" s="8" t="str">
        <f>IFERROR(__xludf.DUMMYFUNCTION("""COMPUTED_VALUE"""),"BULLSHOOTER 36 FINALS")</f>
        <v>BULLSHOOTER 36 FINALS</v>
      </c>
      <c r="I232" s="9">
        <f>IFERROR(__xludf.DUMMYFUNCTION("""COMPUTED_VALUE"""),44713.0)</f>
        <v>44713</v>
      </c>
      <c r="J232" s="9">
        <f>IFERROR(__xludf.DUMMYFUNCTION("""COMPUTED_VALUE"""),45809.0)</f>
        <v>45809</v>
      </c>
      <c r="K232" s="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7"/>
      <c r="B233" s="8"/>
      <c r="C233" s="8"/>
      <c r="D233" s="8"/>
      <c r="E233" s="8"/>
      <c r="F233" s="8"/>
      <c r="G233" s="8"/>
      <c r="H233" s="8"/>
      <c r="I233" s="9"/>
      <c r="J233" s="9"/>
      <c r="K233" s="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7"/>
      <c r="B234" s="8"/>
      <c r="C234" s="8"/>
      <c r="D234" s="8"/>
      <c r="E234" s="8"/>
      <c r="F234" s="8"/>
      <c r="G234" s="8"/>
      <c r="H234" s="8"/>
      <c r="I234" s="9"/>
      <c r="J234" s="9"/>
      <c r="K234" s="10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7"/>
      <c r="B235" s="8"/>
      <c r="C235" s="8"/>
      <c r="D235" s="8"/>
      <c r="E235" s="8"/>
      <c r="F235" s="8"/>
      <c r="G235" s="8"/>
      <c r="H235" s="8"/>
      <c r="I235" s="9"/>
      <c r="J235" s="9"/>
      <c r="K235" s="10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7"/>
      <c r="B236" s="8"/>
      <c r="C236" s="8"/>
      <c r="D236" s="8"/>
      <c r="E236" s="8"/>
      <c r="F236" s="8"/>
      <c r="G236" s="8"/>
      <c r="H236" s="8"/>
      <c r="I236" s="9"/>
      <c r="J236" s="9"/>
      <c r="K236" s="10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7"/>
      <c r="B237" s="8"/>
      <c r="C237" s="8"/>
      <c r="D237" s="8"/>
      <c r="E237" s="8"/>
      <c r="F237" s="8"/>
      <c r="G237" s="8"/>
      <c r="H237" s="8"/>
      <c r="I237" s="9"/>
      <c r="J237" s="9"/>
      <c r="K237" s="10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7"/>
      <c r="B238" s="8"/>
      <c r="C238" s="8"/>
      <c r="D238" s="8"/>
      <c r="E238" s="8"/>
      <c r="F238" s="8"/>
      <c r="G238" s="8"/>
      <c r="H238" s="8"/>
      <c r="I238" s="9"/>
      <c r="J238" s="9"/>
      <c r="K238" s="10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7"/>
      <c r="B239" s="8"/>
      <c r="C239" s="8"/>
      <c r="D239" s="8"/>
      <c r="E239" s="8"/>
      <c r="F239" s="8"/>
      <c r="G239" s="8"/>
      <c r="H239" s="8"/>
      <c r="I239" s="9"/>
      <c r="J239" s="9"/>
      <c r="K239" s="10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7"/>
      <c r="B240" s="8"/>
      <c r="C240" s="8"/>
      <c r="D240" s="8"/>
      <c r="E240" s="8"/>
      <c r="F240" s="8"/>
      <c r="G240" s="8"/>
      <c r="H240" s="8"/>
      <c r="I240" s="9"/>
      <c r="J240" s="9"/>
      <c r="K240" s="10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7"/>
      <c r="B241" s="8"/>
      <c r="C241" s="8"/>
      <c r="D241" s="8"/>
      <c r="E241" s="8"/>
      <c r="F241" s="8"/>
      <c r="G241" s="8"/>
      <c r="H241" s="8"/>
      <c r="I241" s="9"/>
      <c r="J241" s="9"/>
      <c r="K241" s="10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7"/>
      <c r="B242" s="8"/>
      <c r="C242" s="8"/>
      <c r="D242" s="8"/>
      <c r="E242" s="8"/>
      <c r="F242" s="8"/>
      <c r="G242" s="8"/>
      <c r="H242" s="8"/>
      <c r="I242" s="9"/>
      <c r="J242" s="9"/>
      <c r="K242" s="10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7"/>
      <c r="B243" s="8"/>
      <c r="C243" s="8"/>
      <c r="D243" s="8"/>
      <c r="E243" s="8"/>
      <c r="F243" s="8"/>
      <c r="G243" s="8"/>
      <c r="H243" s="8"/>
      <c r="I243" s="9"/>
      <c r="J243" s="9"/>
      <c r="K243" s="10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7"/>
      <c r="B244" s="8"/>
      <c r="C244" s="8"/>
      <c r="D244" s="8"/>
      <c r="E244" s="8"/>
      <c r="F244" s="8"/>
      <c r="G244" s="8"/>
      <c r="H244" s="8"/>
      <c r="I244" s="9"/>
      <c r="J244" s="9"/>
      <c r="K244" s="10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7"/>
      <c r="B245" s="8"/>
      <c r="C245" s="8"/>
      <c r="D245" s="8"/>
      <c r="E245" s="8"/>
      <c r="F245" s="8"/>
      <c r="G245" s="8"/>
      <c r="H245" s="8"/>
      <c r="I245" s="9"/>
      <c r="J245" s="9"/>
      <c r="K245" s="10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7"/>
      <c r="B246" s="8"/>
      <c r="C246" s="8"/>
      <c r="D246" s="8"/>
      <c r="E246" s="8"/>
      <c r="F246" s="8"/>
      <c r="G246" s="8"/>
      <c r="H246" s="8"/>
      <c r="I246" s="9"/>
      <c r="J246" s="9"/>
      <c r="K246" s="10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7"/>
      <c r="B247" s="8"/>
      <c r="C247" s="8"/>
      <c r="D247" s="8"/>
      <c r="E247" s="8"/>
      <c r="F247" s="8"/>
      <c r="G247" s="8"/>
      <c r="H247" s="8"/>
      <c r="I247" s="9"/>
      <c r="J247" s="9"/>
      <c r="K247" s="10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7"/>
      <c r="B248" s="8"/>
      <c r="C248" s="8"/>
      <c r="D248" s="8"/>
      <c r="E248" s="8"/>
      <c r="F248" s="8"/>
      <c r="G248" s="8"/>
      <c r="H248" s="8"/>
      <c r="I248" s="9"/>
      <c r="J248" s="9"/>
      <c r="K248" s="10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7"/>
      <c r="B249" s="8"/>
      <c r="C249" s="8"/>
      <c r="D249" s="8"/>
      <c r="E249" s="8"/>
      <c r="F249" s="8"/>
      <c r="G249" s="8"/>
      <c r="H249" s="8"/>
      <c r="I249" s="9"/>
      <c r="J249" s="9"/>
      <c r="K249" s="10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7"/>
      <c r="B250" s="8"/>
      <c r="C250" s="8"/>
      <c r="D250" s="8"/>
      <c r="E250" s="8"/>
      <c r="F250" s="8"/>
      <c r="G250" s="8"/>
      <c r="H250" s="8"/>
      <c r="I250" s="9"/>
      <c r="J250" s="9"/>
      <c r="K250" s="10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7"/>
      <c r="B251" s="8"/>
      <c r="C251" s="8"/>
      <c r="D251" s="8"/>
      <c r="E251" s="8"/>
      <c r="F251" s="8"/>
      <c r="G251" s="8"/>
      <c r="H251" s="8"/>
      <c r="I251" s="9"/>
      <c r="J251" s="9"/>
      <c r="K251" s="10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7"/>
      <c r="B252" s="8"/>
      <c r="C252" s="8"/>
      <c r="D252" s="8"/>
      <c r="E252" s="8"/>
      <c r="F252" s="8"/>
      <c r="G252" s="8"/>
      <c r="H252" s="8"/>
      <c r="I252" s="9"/>
      <c r="J252" s="9"/>
      <c r="K252" s="10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7"/>
      <c r="B253" s="8"/>
      <c r="C253" s="8"/>
      <c r="D253" s="8"/>
      <c r="E253" s="8"/>
      <c r="F253" s="8"/>
      <c r="G253" s="8"/>
      <c r="H253" s="8"/>
      <c r="I253" s="9"/>
      <c r="J253" s="9"/>
      <c r="K253" s="10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7"/>
      <c r="B254" s="8"/>
      <c r="C254" s="8"/>
      <c r="D254" s="8"/>
      <c r="E254" s="8"/>
      <c r="F254" s="8"/>
      <c r="G254" s="8"/>
      <c r="H254" s="8"/>
      <c r="I254" s="9"/>
      <c r="J254" s="9"/>
      <c r="K254" s="1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7"/>
      <c r="B255" s="8"/>
      <c r="C255" s="8"/>
      <c r="D255" s="8"/>
      <c r="E255" s="8"/>
      <c r="F255" s="8"/>
      <c r="G255" s="8"/>
      <c r="H255" s="8"/>
      <c r="I255" s="9"/>
      <c r="J255" s="9"/>
      <c r="K255" s="1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7"/>
      <c r="B256" s="8"/>
      <c r="C256" s="8"/>
      <c r="D256" s="8"/>
      <c r="E256" s="8"/>
      <c r="F256" s="8"/>
      <c r="G256" s="8"/>
      <c r="H256" s="8"/>
      <c r="I256" s="9"/>
      <c r="J256" s="9"/>
      <c r="K256" s="1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7"/>
      <c r="B257" s="8"/>
      <c r="C257" s="8"/>
      <c r="D257" s="8"/>
      <c r="E257" s="8"/>
      <c r="F257" s="8"/>
      <c r="G257" s="8"/>
      <c r="H257" s="8"/>
      <c r="I257" s="9"/>
      <c r="J257" s="9"/>
      <c r="K257" s="1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7"/>
      <c r="B258" s="8"/>
      <c r="C258" s="8"/>
      <c r="D258" s="8"/>
      <c r="E258" s="8"/>
      <c r="F258" s="8"/>
      <c r="G258" s="8"/>
      <c r="H258" s="8"/>
      <c r="I258" s="9"/>
      <c r="J258" s="9"/>
      <c r="K258" s="10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7"/>
      <c r="B259" s="8"/>
      <c r="C259" s="8"/>
      <c r="D259" s="8"/>
      <c r="E259" s="8"/>
      <c r="F259" s="8"/>
      <c r="G259" s="8"/>
      <c r="H259" s="8"/>
      <c r="I259" s="9"/>
      <c r="J259" s="9"/>
      <c r="K259" s="10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7"/>
      <c r="B260" s="8"/>
      <c r="C260" s="8"/>
      <c r="D260" s="8"/>
      <c r="E260" s="8"/>
      <c r="F260" s="8"/>
      <c r="G260" s="8"/>
      <c r="H260" s="8"/>
      <c r="I260" s="9"/>
      <c r="J260" s="9"/>
      <c r="K260" s="10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7"/>
      <c r="B261" s="8"/>
      <c r="C261" s="8"/>
      <c r="D261" s="8"/>
      <c r="E261" s="8"/>
      <c r="F261" s="8"/>
      <c r="G261" s="8"/>
      <c r="H261" s="8"/>
      <c r="I261" s="9"/>
      <c r="J261" s="9"/>
      <c r="K261" s="1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7"/>
      <c r="B262" s="8"/>
      <c r="C262" s="8"/>
      <c r="D262" s="8"/>
      <c r="E262" s="8"/>
      <c r="F262" s="8"/>
      <c r="G262" s="8"/>
      <c r="H262" s="8"/>
      <c r="I262" s="9"/>
      <c r="J262" s="9"/>
      <c r="K262" s="10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7"/>
      <c r="B263" s="8"/>
      <c r="C263" s="8"/>
      <c r="D263" s="8"/>
      <c r="E263" s="8"/>
      <c r="F263" s="8"/>
      <c r="G263" s="8"/>
      <c r="H263" s="8"/>
      <c r="I263" s="9"/>
      <c r="J263" s="9"/>
      <c r="K263" s="10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7"/>
      <c r="B264" s="8"/>
      <c r="C264" s="8"/>
      <c r="D264" s="8"/>
      <c r="E264" s="8"/>
      <c r="F264" s="8"/>
      <c r="G264" s="8"/>
      <c r="H264" s="8"/>
      <c r="I264" s="9"/>
      <c r="J264" s="9"/>
      <c r="K264" s="10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7"/>
      <c r="B265" s="8"/>
      <c r="C265" s="8"/>
      <c r="D265" s="8"/>
      <c r="E265" s="8"/>
      <c r="F265" s="8"/>
      <c r="G265" s="8"/>
      <c r="H265" s="8"/>
      <c r="I265" s="9"/>
      <c r="J265" s="9"/>
      <c r="K265" s="10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7"/>
      <c r="B266" s="8"/>
      <c r="C266" s="8"/>
      <c r="D266" s="8"/>
      <c r="E266" s="8"/>
      <c r="F266" s="8"/>
      <c r="G266" s="8"/>
      <c r="H266" s="8"/>
      <c r="I266" s="9"/>
      <c r="J266" s="9"/>
      <c r="K266" s="10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7"/>
      <c r="B267" s="8"/>
      <c r="C267" s="8"/>
      <c r="D267" s="8"/>
      <c r="E267" s="8"/>
      <c r="F267" s="8"/>
      <c r="G267" s="8"/>
      <c r="H267" s="8"/>
      <c r="I267" s="9"/>
      <c r="J267" s="9"/>
      <c r="K267" s="1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7"/>
      <c r="B268" s="8"/>
      <c r="C268" s="8"/>
      <c r="D268" s="8"/>
      <c r="E268" s="8"/>
      <c r="F268" s="8"/>
      <c r="G268" s="8"/>
      <c r="H268" s="8"/>
      <c r="I268" s="9"/>
      <c r="J268" s="9"/>
      <c r="K268" s="1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7"/>
      <c r="B269" s="8"/>
      <c r="C269" s="8"/>
      <c r="D269" s="8"/>
      <c r="E269" s="8"/>
      <c r="F269" s="8"/>
      <c r="G269" s="8"/>
      <c r="H269" s="8"/>
      <c r="I269" s="9"/>
      <c r="J269" s="9"/>
      <c r="K269" s="10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7"/>
      <c r="B270" s="8"/>
      <c r="C270" s="8"/>
      <c r="D270" s="8"/>
      <c r="E270" s="8"/>
      <c r="F270" s="8"/>
      <c r="G270" s="8"/>
      <c r="H270" s="8"/>
      <c r="I270" s="9"/>
      <c r="J270" s="9"/>
      <c r="K270" s="10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7"/>
      <c r="B271" s="8"/>
      <c r="C271" s="8"/>
      <c r="D271" s="8"/>
      <c r="E271" s="8"/>
      <c r="F271" s="8"/>
      <c r="G271" s="8"/>
      <c r="H271" s="8"/>
      <c r="I271" s="9"/>
      <c r="J271" s="9"/>
      <c r="K271" s="1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7"/>
      <c r="B272" s="8"/>
      <c r="C272" s="8"/>
      <c r="D272" s="8"/>
      <c r="E272" s="8"/>
      <c r="F272" s="8"/>
      <c r="G272" s="8"/>
      <c r="H272" s="8"/>
      <c r="I272" s="9"/>
      <c r="J272" s="9"/>
      <c r="K272" s="1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7"/>
      <c r="B273" s="8"/>
      <c r="C273" s="8"/>
      <c r="D273" s="8"/>
      <c r="E273" s="8"/>
      <c r="F273" s="8"/>
      <c r="G273" s="8"/>
      <c r="H273" s="8"/>
      <c r="I273" s="9"/>
      <c r="J273" s="9"/>
      <c r="K273" s="1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7"/>
      <c r="B274" s="8"/>
      <c r="C274" s="8"/>
      <c r="D274" s="8"/>
      <c r="E274" s="8"/>
      <c r="F274" s="8"/>
      <c r="G274" s="8"/>
      <c r="H274" s="8"/>
      <c r="I274" s="9"/>
      <c r="J274" s="9"/>
      <c r="K274" s="1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7"/>
      <c r="B275" s="8"/>
      <c r="C275" s="8"/>
      <c r="D275" s="8"/>
      <c r="E275" s="8"/>
      <c r="F275" s="8"/>
      <c r="G275" s="8"/>
      <c r="H275" s="8"/>
      <c r="I275" s="9"/>
      <c r="J275" s="9"/>
      <c r="K275" s="1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7"/>
      <c r="B276" s="8"/>
      <c r="C276" s="8"/>
      <c r="D276" s="8"/>
      <c r="E276" s="8"/>
      <c r="F276" s="8"/>
      <c r="G276" s="8"/>
      <c r="H276" s="8"/>
      <c r="I276" s="9"/>
      <c r="J276" s="9"/>
      <c r="K276" s="10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7"/>
      <c r="B277" s="8"/>
      <c r="C277" s="8"/>
      <c r="D277" s="8"/>
      <c r="E277" s="8"/>
      <c r="F277" s="8"/>
      <c r="G277" s="8"/>
      <c r="H277" s="8"/>
      <c r="I277" s="9"/>
      <c r="J277" s="9"/>
      <c r="K277" s="10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7"/>
      <c r="B278" s="8"/>
      <c r="C278" s="8"/>
      <c r="D278" s="8"/>
      <c r="E278" s="8"/>
      <c r="F278" s="8"/>
      <c r="G278" s="8"/>
      <c r="H278" s="8"/>
      <c r="I278" s="9"/>
      <c r="J278" s="9"/>
      <c r="K278" s="1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7"/>
      <c r="B279" s="8"/>
      <c r="C279" s="8"/>
      <c r="D279" s="8"/>
      <c r="E279" s="8"/>
      <c r="F279" s="8"/>
      <c r="G279" s="8"/>
      <c r="H279" s="8"/>
      <c r="I279" s="9"/>
      <c r="J279" s="9"/>
      <c r="K279" s="1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7"/>
      <c r="B280" s="8"/>
      <c r="C280" s="8"/>
      <c r="D280" s="8"/>
      <c r="E280" s="8"/>
      <c r="F280" s="8"/>
      <c r="G280" s="8"/>
      <c r="H280" s="8"/>
      <c r="I280" s="9"/>
      <c r="J280" s="9"/>
      <c r="K280" s="10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7"/>
      <c r="B281" s="8"/>
      <c r="C281" s="8"/>
      <c r="D281" s="8"/>
      <c r="E281" s="8"/>
      <c r="F281" s="8"/>
      <c r="G281" s="8"/>
      <c r="H281" s="8"/>
      <c r="I281" s="9"/>
      <c r="J281" s="9"/>
      <c r="K281" s="10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7"/>
      <c r="B282" s="8"/>
      <c r="C282" s="8"/>
      <c r="D282" s="8"/>
      <c r="E282" s="8"/>
      <c r="F282" s="8"/>
      <c r="G282" s="8"/>
      <c r="H282" s="8"/>
      <c r="I282" s="9"/>
      <c r="J282" s="9"/>
      <c r="K282" s="1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7"/>
      <c r="B283" s="8"/>
      <c r="C283" s="8"/>
      <c r="D283" s="8"/>
      <c r="E283" s="8"/>
      <c r="F283" s="8"/>
      <c r="G283" s="8"/>
      <c r="H283" s="8"/>
      <c r="I283" s="9"/>
      <c r="J283" s="9"/>
      <c r="K283" s="1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7"/>
      <c r="B284" s="8"/>
      <c r="C284" s="8"/>
      <c r="D284" s="8"/>
      <c r="E284" s="8"/>
      <c r="F284" s="8"/>
      <c r="G284" s="8"/>
      <c r="H284" s="8"/>
      <c r="I284" s="9"/>
      <c r="J284" s="9"/>
      <c r="K284" s="1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7"/>
      <c r="B285" s="8"/>
      <c r="C285" s="8"/>
      <c r="D285" s="8"/>
      <c r="E285" s="8"/>
      <c r="F285" s="8"/>
      <c r="G285" s="8"/>
      <c r="H285" s="8"/>
      <c r="I285" s="9"/>
      <c r="J285" s="9"/>
      <c r="K285" s="1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7"/>
      <c r="B286" s="8"/>
      <c r="C286" s="8"/>
      <c r="D286" s="8"/>
      <c r="E286" s="8"/>
      <c r="F286" s="8"/>
      <c r="G286" s="8"/>
      <c r="H286" s="8"/>
      <c r="I286" s="9"/>
      <c r="J286" s="9"/>
      <c r="K286" s="1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7"/>
      <c r="B287" s="8"/>
      <c r="C287" s="8"/>
      <c r="D287" s="8"/>
      <c r="E287" s="8"/>
      <c r="F287" s="8"/>
      <c r="G287" s="8"/>
      <c r="H287" s="8"/>
      <c r="I287" s="9"/>
      <c r="J287" s="9"/>
      <c r="K287" s="1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7"/>
      <c r="B288" s="8"/>
      <c r="C288" s="8"/>
      <c r="D288" s="8"/>
      <c r="E288" s="8"/>
      <c r="F288" s="8"/>
      <c r="G288" s="8"/>
      <c r="H288" s="8"/>
      <c r="I288" s="9"/>
      <c r="J288" s="9"/>
      <c r="K288" s="1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7"/>
      <c r="B289" s="8"/>
      <c r="C289" s="8"/>
      <c r="D289" s="8"/>
      <c r="E289" s="8"/>
      <c r="F289" s="8"/>
      <c r="G289" s="8"/>
      <c r="H289" s="8"/>
      <c r="I289" s="9"/>
      <c r="J289" s="9"/>
      <c r="K289" s="10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7"/>
      <c r="B290" s="8"/>
      <c r="C290" s="8"/>
      <c r="D290" s="8"/>
      <c r="E290" s="8"/>
      <c r="F290" s="8"/>
      <c r="G290" s="8"/>
      <c r="H290" s="8"/>
      <c r="I290" s="9"/>
      <c r="J290" s="9"/>
      <c r="K290" s="10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7"/>
      <c r="B291" s="8"/>
      <c r="C291" s="8"/>
      <c r="D291" s="8"/>
      <c r="E291" s="8"/>
      <c r="F291" s="8"/>
      <c r="G291" s="8"/>
      <c r="H291" s="8"/>
      <c r="I291" s="9"/>
      <c r="J291" s="9"/>
      <c r="K291" s="10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7"/>
      <c r="B292" s="8"/>
      <c r="C292" s="8"/>
      <c r="D292" s="8"/>
      <c r="E292" s="8"/>
      <c r="F292" s="8"/>
      <c r="G292" s="8"/>
      <c r="H292" s="8"/>
      <c r="I292" s="9"/>
      <c r="J292" s="9"/>
      <c r="K292" s="1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7"/>
      <c r="B293" s="8"/>
      <c r="C293" s="8"/>
      <c r="D293" s="8"/>
      <c r="E293" s="8"/>
      <c r="F293" s="8"/>
      <c r="G293" s="8"/>
      <c r="H293" s="8"/>
      <c r="I293" s="9"/>
      <c r="J293" s="9"/>
      <c r="K293" s="1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7"/>
      <c r="B294" s="8"/>
      <c r="C294" s="8"/>
      <c r="D294" s="8"/>
      <c r="E294" s="8"/>
      <c r="F294" s="8"/>
      <c r="G294" s="8"/>
      <c r="H294" s="8"/>
      <c r="I294" s="9"/>
      <c r="J294" s="9"/>
      <c r="K294" s="10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7"/>
      <c r="B295" s="8"/>
      <c r="C295" s="8"/>
      <c r="D295" s="8"/>
      <c r="E295" s="8"/>
      <c r="F295" s="8"/>
      <c r="G295" s="8"/>
      <c r="H295" s="8"/>
      <c r="I295" s="9"/>
      <c r="J295" s="9"/>
      <c r="K295" s="10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7"/>
      <c r="B296" s="8"/>
      <c r="C296" s="8"/>
      <c r="D296" s="8"/>
      <c r="E296" s="8"/>
      <c r="F296" s="8"/>
      <c r="G296" s="8"/>
      <c r="H296" s="8"/>
      <c r="I296" s="9"/>
      <c r="J296" s="9"/>
      <c r="K296" s="1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7"/>
      <c r="B297" s="8"/>
      <c r="C297" s="8"/>
      <c r="D297" s="8"/>
      <c r="E297" s="8"/>
      <c r="F297" s="8"/>
      <c r="G297" s="8"/>
      <c r="H297" s="8"/>
      <c r="I297" s="9"/>
      <c r="J297" s="9"/>
      <c r="K297" s="1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7"/>
      <c r="B298" s="8"/>
      <c r="C298" s="8"/>
      <c r="D298" s="8"/>
      <c r="E298" s="8"/>
      <c r="F298" s="8"/>
      <c r="G298" s="8"/>
      <c r="H298" s="8"/>
      <c r="I298" s="9"/>
      <c r="J298" s="9"/>
      <c r="K298" s="10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7"/>
      <c r="B299" s="8"/>
      <c r="C299" s="8"/>
      <c r="D299" s="8"/>
      <c r="E299" s="8"/>
      <c r="F299" s="8"/>
      <c r="G299" s="8"/>
      <c r="H299" s="8"/>
      <c r="I299" s="9"/>
      <c r="J299" s="9"/>
      <c r="K299" s="10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7"/>
      <c r="B300" s="8"/>
      <c r="C300" s="8"/>
      <c r="D300" s="8"/>
      <c r="E300" s="8"/>
      <c r="F300" s="8"/>
      <c r="G300" s="8"/>
      <c r="H300" s="8"/>
      <c r="I300" s="9"/>
      <c r="J300" s="9"/>
      <c r="K300" s="1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7"/>
      <c r="B301" s="8"/>
      <c r="C301" s="8"/>
      <c r="D301" s="8"/>
      <c r="E301" s="8"/>
      <c r="F301" s="8"/>
      <c r="G301" s="8"/>
      <c r="H301" s="8"/>
      <c r="I301" s="9"/>
      <c r="J301" s="9"/>
      <c r="K301" s="1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7"/>
      <c r="B302" s="8"/>
      <c r="C302" s="8"/>
      <c r="D302" s="8"/>
      <c r="E302" s="8"/>
      <c r="F302" s="8"/>
      <c r="G302" s="8"/>
      <c r="H302" s="8"/>
      <c r="I302" s="9"/>
      <c r="J302" s="9"/>
      <c r="K302" s="10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7"/>
      <c r="B303" s="8"/>
      <c r="C303" s="8"/>
      <c r="D303" s="8"/>
      <c r="E303" s="8"/>
      <c r="F303" s="8"/>
      <c r="G303" s="8"/>
      <c r="H303" s="8"/>
      <c r="I303" s="9"/>
      <c r="J303" s="9"/>
      <c r="K303" s="10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7"/>
      <c r="B304" s="8"/>
      <c r="C304" s="8"/>
      <c r="D304" s="8"/>
      <c r="E304" s="8"/>
      <c r="F304" s="8"/>
      <c r="G304" s="8"/>
      <c r="H304" s="8"/>
      <c r="I304" s="9"/>
      <c r="J304" s="9"/>
      <c r="K304" s="1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7"/>
      <c r="B305" s="8"/>
      <c r="C305" s="8"/>
      <c r="D305" s="8"/>
      <c r="E305" s="8"/>
      <c r="F305" s="8"/>
      <c r="G305" s="8"/>
      <c r="H305" s="8"/>
      <c r="I305" s="9"/>
      <c r="J305" s="9"/>
      <c r="K305" s="1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7"/>
      <c r="B306" s="8"/>
      <c r="C306" s="8"/>
      <c r="D306" s="8"/>
      <c r="E306" s="8"/>
      <c r="F306" s="8"/>
      <c r="G306" s="8"/>
      <c r="H306" s="8"/>
      <c r="I306" s="9"/>
      <c r="J306" s="9"/>
      <c r="K306" s="10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7"/>
      <c r="B307" s="8"/>
      <c r="C307" s="8"/>
      <c r="D307" s="8"/>
      <c r="E307" s="8"/>
      <c r="F307" s="8"/>
      <c r="G307" s="8"/>
      <c r="H307" s="8"/>
      <c r="I307" s="9"/>
      <c r="J307" s="9"/>
      <c r="K307" s="10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7"/>
      <c r="B308" s="8"/>
      <c r="C308" s="8"/>
      <c r="D308" s="8"/>
      <c r="E308" s="8"/>
      <c r="F308" s="8"/>
      <c r="G308" s="8"/>
      <c r="H308" s="8"/>
      <c r="I308" s="9"/>
      <c r="J308" s="9"/>
      <c r="K308" s="1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7"/>
      <c r="B309" s="8"/>
      <c r="C309" s="8"/>
      <c r="D309" s="8"/>
      <c r="E309" s="8"/>
      <c r="F309" s="8"/>
      <c r="G309" s="8"/>
      <c r="H309" s="8"/>
      <c r="I309" s="9"/>
      <c r="J309" s="9"/>
      <c r="K309" s="1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7"/>
      <c r="B310" s="8"/>
      <c r="C310" s="8"/>
      <c r="D310" s="8"/>
      <c r="E310" s="8"/>
      <c r="F310" s="8"/>
      <c r="G310" s="8"/>
      <c r="H310" s="8"/>
      <c r="I310" s="9"/>
      <c r="J310" s="9"/>
      <c r="K310" s="10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7"/>
      <c r="B311" s="8"/>
      <c r="C311" s="8"/>
      <c r="D311" s="8"/>
      <c r="E311" s="8"/>
      <c r="F311" s="8"/>
      <c r="G311" s="8"/>
      <c r="H311" s="8"/>
      <c r="I311" s="9"/>
      <c r="J311" s="9"/>
      <c r="K311" s="10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7"/>
      <c r="B312" s="8"/>
      <c r="C312" s="8"/>
      <c r="D312" s="8"/>
      <c r="E312" s="8"/>
      <c r="F312" s="8"/>
      <c r="G312" s="8"/>
      <c r="H312" s="8"/>
      <c r="I312" s="9"/>
      <c r="J312" s="9"/>
      <c r="K312" s="10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7"/>
      <c r="B313" s="8"/>
      <c r="C313" s="8"/>
      <c r="D313" s="8"/>
      <c r="E313" s="8"/>
      <c r="F313" s="8"/>
      <c r="G313" s="8"/>
      <c r="H313" s="8"/>
      <c r="I313" s="9"/>
      <c r="J313" s="9"/>
      <c r="K313" s="1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7"/>
      <c r="B314" s="8"/>
      <c r="C314" s="8"/>
      <c r="D314" s="8"/>
      <c r="E314" s="8"/>
      <c r="F314" s="8"/>
      <c r="G314" s="8"/>
      <c r="H314" s="8"/>
      <c r="I314" s="9"/>
      <c r="J314" s="9"/>
      <c r="K314" s="1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7"/>
      <c r="B315" s="8"/>
      <c r="C315" s="8"/>
      <c r="D315" s="8"/>
      <c r="E315" s="8"/>
      <c r="F315" s="8"/>
      <c r="G315" s="8"/>
      <c r="H315" s="8"/>
      <c r="I315" s="9"/>
      <c r="J315" s="9"/>
      <c r="K315" s="1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7"/>
      <c r="B316" s="8"/>
      <c r="C316" s="8"/>
      <c r="D316" s="8"/>
      <c r="E316" s="8"/>
      <c r="F316" s="8"/>
      <c r="G316" s="8"/>
      <c r="H316" s="8"/>
      <c r="I316" s="9"/>
      <c r="J316" s="9"/>
      <c r="K316" s="1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7"/>
      <c r="B317" s="8"/>
      <c r="C317" s="8"/>
      <c r="D317" s="8"/>
      <c r="E317" s="8"/>
      <c r="F317" s="8"/>
      <c r="G317" s="8"/>
      <c r="H317" s="8"/>
      <c r="I317" s="9"/>
      <c r="J317" s="9"/>
      <c r="K317" s="1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7"/>
      <c r="B318" s="8"/>
      <c r="C318" s="8"/>
      <c r="D318" s="8"/>
      <c r="E318" s="8"/>
      <c r="F318" s="8"/>
      <c r="G318" s="8"/>
      <c r="H318" s="8"/>
      <c r="I318" s="9"/>
      <c r="J318" s="9"/>
      <c r="K318" s="1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7"/>
      <c r="B319" s="8"/>
      <c r="C319" s="8"/>
      <c r="D319" s="8"/>
      <c r="E319" s="8"/>
      <c r="F319" s="8"/>
      <c r="G319" s="8"/>
      <c r="H319" s="8"/>
      <c r="I319" s="9"/>
      <c r="J319" s="9"/>
      <c r="K319" s="10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11"/>
      <c r="B320" s="12"/>
      <c r="C320" s="12"/>
      <c r="D320" s="12"/>
      <c r="E320" s="12"/>
      <c r="F320" s="12"/>
      <c r="G320" s="12"/>
      <c r="H320" s="12"/>
      <c r="I320" s="14"/>
      <c r="J320" s="14"/>
      <c r="K320" s="10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7"/>
      <c r="B321" s="8"/>
      <c r="C321" s="8"/>
      <c r="D321" s="8"/>
      <c r="E321" s="8"/>
      <c r="F321" s="8"/>
      <c r="G321" s="8"/>
      <c r="H321" s="8"/>
      <c r="I321" s="9"/>
      <c r="J321" s="9"/>
      <c r="K321" s="1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7"/>
      <c r="B322" s="8"/>
      <c r="C322" s="8"/>
      <c r="D322" s="8"/>
      <c r="E322" s="8"/>
      <c r="F322" s="8"/>
      <c r="G322" s="8"/>
      <c r="H322" s="8"/>
      <c r="I322" s="9"/>
      <c r="J322" s="9"/>
      <c r="K322" s="1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7"/>
      <c r="B323" s="8"/>
      <c r="C323" s="8"/>
      <c r="D323" s="8"/>
      <c r="E323" s="8"/>
      <c r="F323" s="8"/>
      <c r="G323" s="8"/>
      <c r="H323" s="8"/>
      <c r="I323" s="9"/>
      <c r="J323" s="9"/>
      <c r="K323" s="1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7"/>
      <c r="B324" s="8"/>
      <c r="C324" s="8"/>
      <c r="D324" s="8"/>
      <c r="E324" s="8"/>
      <c r="F324" s="8"/>
      <c r="G324" s="8"/>
      <c r="H324" s="8"/>
      <c r="I324" s="9"/>
      <c r="J324" s="9"/>
      <c r="K324" s="1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7"/>
      <c r="B325" s="8"/>
      <c r="C325" s="8"/>
      <c r="D325" s="8"/>
      <c r="E325" s="8"/>
      <c r="F325" s="8"/>
      <c r="G325" s="8"/>
      <c r="H325" s="8"/>
      <c r="I325" s="9"/>
      <c r="J325" s="9"/>
      <c r="K325" s="10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7"/>
      <c r="B326" s="8"/>
      <c r="C326" s="8"/>
      <c r="D326" s="8"/>
      <c r="E326" s="8"/>
      <c r="F326" s="8"/>
      <c r="G326" s="8"/>
      <c r="H326" s="8"/>
      <c r="I326" s="9"/>
      <c r="J326" s="9"/>
      <c r="K326" s="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7"/>
      <c r="B327" s="8"/>
      <c r="C327" s="8"/>
      <c r="D327" s="8"/>
      <c r="E327" s="8"/>
      <c r="F327" s="8"/>
      <c r="G327" s="8"/>
      <c r="H327" s="8"/>
      <c r="I327" s="9"/>
      <c r="J327" s="9"/>
      <c r="K327" s="1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7"/>
      <c r="B328" s="8"/>
      <c r="C328" s="8"/>
      <c r="D328" s="8"/>
      <c r="E328" s="8"/>
      <c r="F328" s="8"/>
      <c r="G328" s="8"/>
      <c r="H328" s="8"/>
      <c r="I328" s="9"/>
      <c r="J328" s="9"/>
      <c r="K328" s="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7"/>
      <c r="B329" s="8"/>
      <c r="C329" s="8"/>
      <c r="D329" s="8"/>
      <c r="E329" s="8"/>
      <c r="F329" s="8"/>
      <c r="G329" s="8"/>
      <c r="H329" s="8"/>
      <c r="I329" s="9"/>
      <c r="J329" s="9"/>
      <c r="K329" s="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7"/>
      <c r="B330" s="8"/>
      <c r="C330" s="8"/>
      <c r="D330" s="8"/>
      <c r="E330" s="8"/>
      <c r="F330" s="8"/>
      <c r="G330" s="8"/>
      <c r="H330" s="8"/>
      <c r="I330" s="9"/>
      <c r="J330" s="9"/>
      <c r="K330" s="1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7"/>
      <c r="B331" s="8"/>
      <c r="C331" s="8"/>
      <c r="D331" s="8"/>
      <c r="E331" s="8"/>
      <c r="F331" s="8"/>
      <c r="G331" s="8"/>
      <c r="H331" s="8"/>
      <c r="I331" s="9"/>
      <c r="J331" s="9"/>
      <c r="K331" s="1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7"/>
      <c r="B332" s="8"/>
      <c r="C332" s="8"/>
      <c r="D332" s="8"/>
      <c r="E332" s="8"/>
      <c r="F332" s="8"/>
      <c r="G332" s="8"/>
      <c r="H332" s="8"/>
      <c r="I332" s="9"/>
      <c r="J332" s="9"/>
      <c r="K332" s="1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7"/>
      <c r="B333" s="8"/>
      <c r="C333" s="8"/>
      <c r="D333" s="8"/>
      <c r="E333" s="8"/>
      <c r="F333" s="8"/>
      <c r="G333" s="8"/>
      <c r="H333" s="8"/>
      <c r="I333" s="9"/>
      <c r="J333" s="9"/>
      <c r="K333" s="1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7"/>
      <c r="B334" s="8"/>
      <c r="C334" s="8"/>
      <c r="D334" s="8"/>
      <c r="E334" s="8"/>
      <c r="F334" s="8"/>
      <c r="G334" s="8"/>
      <c r="H334" s="8"/>
      <c r="I334" s="9"/>
      <c r="J334" s="9"/>
      <c r="K334" s="1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7"/>
      <c r="B335" s="8"/>
      <c r="C335" s="8"/>
      <c r="D335" s="8"/>
      <c r="E335" s="8"/>
      <c r="F335" s="8"/>
      <c r="G335" s="8"/>
      <c r="H335" s="8"/>
      <c r="I335" s="9"/>
      <c r="J335" s="9"/>
      <c r="K335" s="10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7"/>
      <c r="B336" s="8"/>
      <c r="C336" s="8"/>
      <c r="D336" s="8"/>
      <c r="E336" s="8"/>
      <c r="F336" s="8"/>
      <c r="G336" s="8"/>
      <c r="H336" s="8"/>
      <c r="I336" s="9"/>
      <c r="J336" s="9"/>
      <c r="K336" s="10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7"/>
      <c r="B337" s="8"/>
      <c r="C337" s="8"/>
      <c r="D337" s="8"/>
      <c r="E337" s="8"/>
      <c r="F337" s="8"/>
      <c r="G337" s="8"/>
      <c r="H337" s="8"/>
      <c r="I337" s="9"/>
      <c r="J337" s="9"/>
      <c r="K337" s="1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7"/>
      <c r="B338" s="8"/>
      <c r="C338" s="8"/>
      <c r="D338" s="8"/>
      <c r="E338" s="8"/>
      <c r="F338" s="8"/>
      <c r="G338" s="8"/>
      <c r="H338" s="8"/>
      <c r="I338" s="9"/>
      <c r="J338" s="9"/>
      <c r="K338" s="1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7"/>
      <c r="B339" s="8"/>
      <c r="C339" s="8"/>
      <c r="D339" s="8"/>
      <c r="E339" s="8"/>
      <c r="F339" s="8"/>
      <c r="G339" s="8"/>
      <c r="H339" s="8"/>
      <c r="I339" s="9"/>
      <c r="J339" s="9"/>
      <c r="K339" s="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7"/>
      <c r="B340" s="8"/>
      <c r="C340" s="8"/>
      <c r="D340" s="8"/>
      <c r="E340" s="8"/>
      <c r="F340" s="8"/>
      <c r="G340" s="8"/>
      <c r="H340" s="8"/>
      <c r="I340" s="9"/>
      <c r="J340" s="9"/>
      <c r="K340" s="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7"/>
      <c r="B341" s="8"/>
      <c r="C341" s="8"/>
      <c r="D341" s="8"/>
      <c r="E341" s="8"/>
      <c r="F341" s="8"/>
      <c r="G341" s="8"/>
      <c r="H341" s="8"/>
      <c r="I341" s="9"/>
      <c r="J341" s="9"/>
      <c r="K341" s="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7"/>
      <c r="B342" s="8"/>
      <c r="C342" s="8"/>
      <c r="D342" s="8"/>
      <c r="E342" s="8"/>
      <c r="F342" s="8"/>
      <c r="G342" s="8"/>
      <c r="H342" s="8"/>
      <c r="I342" s="9"/>
      <c r="J342" s="9"/>
      <c r="K342" s="1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7"/>
      <c r="B343" s="8"/>
      <c r="C343" s="8"/>
      <c r="D343" s="8"/>
      <c r="E343" s="8"/>
      <c r="F343" s="8"/>
      <c r="G343" s="8"/>
      <c r="H343" s="8"/>
      <c r="I343" s="9"/>
      <c r="J343" s="9"/>
      <c r="K343" s="10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7"/>
      <c r="B344" s="8"/>
      <c r="C344" s="8"/>
      <c r="D344" s="8"/>
      <c r="E344" s="8"/>
      <c r="F344" s="8"/>
      <c r="G344" s="8"/>
      <c r="H344" s="8"/>
      <c r="I344" s="9"/>
      <c r="J344" s="9"/>
      <c r="K344" s="1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7"/>
      <c r="B345" s="8"/>
      <c r="C345" s="8"/>
      <c r="D345" s="8"/>
      <c r="E345" s="8"/>
      <c r="F345" s="8"/>
      <c r="G345" s="8"/>
      <c r="H345" s="8"/>
      <c r="I345" s="9"/>
      <c r="J345" s="9"/>
      <c r="K345" s="1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7"/>
      <c r="B346" s="8"/>
      <c r="C346" s="8"/>
      <c r="D346" s="8"/>
      <c r="E346" s="8"/>
      <c r="F346" s="8"/>
      <c r="G346" s="8"/>
      <c r="H346" s="8"/>
      <c r="I346" s="9"/>
      <c r="J346" s="9"/>
      <c r="K346" s="1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7"/>
      <c r="B347" s="8"/>
      <c r="C347" s="8"/>
      <c r="D347" s="8"/>
      <c r="E347" s="8"/>
      <c r="F347" s="8"/>
      <c r="G347" s="8"/>
      <c r="H347" s="8"/>
      <c r="I347" s="9"/>
      <c r="J347" s="9"/>
      <c r="K347" s="1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7"/>
      <c r="B348" s="8"/>
      <c r="C348" s="8"/>
      <c r="D348" s="8"/>
      <c r="E348" s="8"/>
      <c r="F348" s="8"/>
      <c r="G348" s="8"/>
      <c r="H348" s="8"/>
      <c r="I348" s="9"/>
      <c r="J348" s="9"/>
      <c r="K348" s="10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7"/>
      <c r="B349" s="8"/>
      <c r="C349" s="8"/>
      <c r="D349" s="8"/>
      <c r="E349" s="8"/>
      <c r="F349" s="8"/>
      <c r="G349" s="8"/>
      <c r="H349" s="8"/>
      <c r="I349" s="9"/>
      <c r="J349" s="9"/>
      <c r="K349" s="1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7"/>
      <c r="B350" s="8"/>
      <c r="C350" s="8"/>
      <c r="D350" s="8"/>
      <c r="E350" s="8"/>
      <c r="F350" s="8"/>
      <c r="G350" s="8"/>
      <c r="H350" s="8"/>
      <c r="I350" s="9"/>
      <c r="J350" s="9"/>
      <c r="K350" s="1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7"/>
      <c r="B351" s="8"/>
      <c r="C351" s="8"/>
      <c r="D351" s="8"/>
      <c r="E351" s="8"/>
      <c r="F351" s="8"/>
      <c r="G351" s="8"/>
      <c r="H351" s="8"/>
      <c r="I351" s="9"/>
      <c r="J351" s="9"/>
      <c r="K351" s="10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7"/>
      <c r="B352" s="8"/>
      <c r="C352" s="8"/>
      <c r="D352" s="8"/>
      <c r="E352" s="8"/>
      <c r="F352" s="8"/>
      <c r="G352" s="8"/>
      <c r="H352" s="8"/>
      <c r="I352" s="9"/>
      <c r="J352" s="9"/>
      <c r="K352" s="10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7"/>
      <c r="B353" s="8"/>
      <c r="C353" s="8"/>
      <c r="D353" s="8"/>
      <c r="E353" s="8"/>
      <c r="F353" s="8"/>
      <c r="G353" s="8"/>
      <c r="H353" s="8"/>
      <c r="I353" s="9"/>
      <c r="J353" s="9"/>
      <c r="K353" s="10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7"/>
      <c r="B354" s="8"/>
      <c r="C354" s="8"/>
      <c r="D354" s="8"/>
      <c r="E354" s="8"/>
      <c r="F354" s="8"/>
      <c r="G354" s="8"/>
      <c r="H354" s="8"/>
      <c r="I354" s="9"/>
      <c r="J354" s="9"/>
      <c r="K354" s="10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7"/>
      <c r="B355" s="8"/>
      <c r="C355" s="8"/>
      <c r="D355" s="8"/>
      <c r="E355" s="8"/>
      <c r="F355" s="8"/>
      <c r="G355" s="8"/>
      <c r="H355" s="8"/>
      <c r="I355" s="9"/>
      <c r="J355" s="9"/>
      <c r="K355" s="10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7"/>
      <c r="B356" s="8"/>
      <c r="C356" s="8"/>
      <c r="D356" s="8"/>
      <c r="E356" s="8"/>
      <c r="F356" s="8"/>
      <c r="G356" s="8"/>
      <c r="H356" s="8"/>
      <c r="I356" s="9"/>
      <c r="J356" s="9"/>
      <c r="K356" s="1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7"/>
      <c r="B357" s="8"/>
      <c r="C357" s="8"/>
      <c r="D357" s="8"/>
      <c r="E357" s="8"/>
      <c r="F357" s="8"/>
      <c r="G357" s="8"/>
      <c r="H357" s="8"/>
      <c r="I357" s="9"/>
      <c r="J357" s="9"/>
      <c r="K357" s="1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7"/>
      <c r="B358" s="8"/>
      <c r="C358" s="8"/>
      <c r="D358" s="8"/>
      <c r="E358" s="8"/>
      <c r="F358" s="8"/>
      <c r="G358" s="8"/>
      <c r="H358" s="8"/>
      <c r="I358" s="9"/>
      <c r="J358" s="9"/>
      <c r="K358" s="1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7"/>
      <c r="B359" s="8"/>
      <c r="C359" s="8"/>
      <c r="D359" s="8"/>
      <c r="E359" s="8"/>
      <c r="F359" s="8"/>
      <c r="G359" s="8"/>
      <c r="H359" s="8"/>
      <c r="I359" s="9"/>
      <c r="J359" s="9"/>
      <c r="K359" s="1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7"/>
      <c r="B360" s="8"/>
      <c r="C360" s="8"/>
      <c r="D360" s="8"/>
      <c r="E360" s="8"/>
      <c r="F360" s="8"/>
      <c r="G360" s="8"/>
      <c r="H360" s="8"/>
      <c r="I360" s="9"/>
      <c r="J360" s="9"/>
      <c r="K360" s="1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7"/>
      <c r="B361" s="8"/>
      <c r="C361" s="8"/>
      <c r="D361" s="8"/>
      <c r="E361" s="8"/>
      <c r="F361" s="8"/>
      <c r="G361" s="8"/>
      <c r="H361" s="8"/>
      <c r="I361" s="9"/>
      <c r="J361" s="9"/>
      <c r="K361" s="1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7"/>
      <c r="B362" s="8"/>
      <c r="C362" s="8"/>
      <c r="D362" s="8"/>
      <c r="E362" s="8"/>
      <c r="F362" s="8"/>
      <c r="G362" s="8"/>
      <c r="H362" s="8"/>
      <c r="I362" s="9"/>
      <c r="J362" s="9"/>
      <c r="K362" s="10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7"/>
      <c r="B363" s="8"/>
      <c r="C363" s="8"/>
      <c r="D363" s="8"/>
      <c r="E363" s="8"/>
      <c r="F363" s="8"/>
      <c r="G363" s="8"/>
      <c r="H363" s="8"/>
      <c r="I363" s="9"/>
      <c r="J363" s="9"/>
      <c r="K363" s="10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7"/>
      <c r="B364" s="8"/>
      <c r="C364" s="8"/>
      <c r="D364" s="8"/>
      <c r="E364" s="8"/>
      <c r="F364" s="8"/>
      <c r="G364" s="8"/>
      <c r="H364" s="8"/>
      <c r="I364" s="9"/>
      <c r="J364" s="9"/>
      <c r="K364" s="10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7"/>
      <c r="B365" s="8"/>
      <c r="C365" s="8"/>
      <c r="D365" s="8"/>
      <c r="E365" s="8"/>
      <c r="F365" s="8"/>
      <c r="G365" s="8"/>
      <c r="H365" s="8"/>
      <c r="I365" s="9"/>
      <c r="J365" s="9"/>
      <c r="K365" s="10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7"/>
      <c r="B366" s="8"/>
      <c r="C366" s="8"/>
      <c r="D366" s="8"/>
      <c r="E366" s="8"/>
      <c r="F366" s="8"/>
      <c r="G366" s="8"/>
      <c r="H366" s="8"/>
      <c r="I366" s="9"/>
      <c r="J366" s="9"/>
      <c r="K366" s="1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7"/>
      <c r="B367" s="8"/>
      <c r="C367" s="8"/>
      <c r="D367" s="8"/>
      <c r="E367" s="8"/>
      <c r="F367" s="8"/>
      <c r="G367" s="8"/>
      <c r="H367" s="8"/>
      <c r="I367" s="9"/>
      <c r="J367" s="9"/>
      <c r="K367" s="1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7"/>
      <c r="B368" s="8"/>
      <c r="C368" s="8"/>
      <c r="D368" s="8"/>
      <c r="E368" s="8"/>
      <c r="F368" s="8"/>
      <c r="G368" s="8"/>
      <c r="H368" s="8"/>
      <c r="I368" s="9"/>
      <c r="J368" s="9"/>
      <c r="K368" s="1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7"/>
      <c r="B369" s="8"/>
      <c r="C369" s="8"/>
      <c r="D369" s="8"/>
      <c r="E369" s="8"/>
      <c r="F369" s="8"/>
      <c r="G369" s="8"/>
      <c r="H369" s="8"/>
      <c r="I369" s="9"/>
      <c r="J369" s="9"/>
      <c r="K369" s="1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7"/>
      <c r="B370" s="8"/>
      <c r="C370" s="8"/>
      <c r="D370" s="8"/>
      <c r="E370" s="8"/>
      <c r="F370" s="8"/>
      <c r="G370" s="8"/>
      <c r="H370" s="8"/>
      <c r="I370" s="9"/>
      <c r="J370" s="9"/>
      <c r="K370" s="1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11"/>
      <c r="B371" s="12"/>
      <c r="C371" s="12"/>
      <c r="D371" s="12"/>
      <c r="E371" s="12"/>
      <c r="F371" s="12"/>
      <c r="G371" s="12"/>
      <c r="H371" s="12"/>
      <c r="I371" s="14"/>
      <c r="J371" s="14"/>
      <c r="K371" s="10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7"/>
      <c r="B372" s="8"/>
      <c r="C372" s="8"/>
      <c r="D372" s="8"/>
      <c r="E372" s="8"/>
      <c r="F372" s="8"/>
      <c r="G372" s="8"/>
      <c r="H372" s="8"/>
      <c r="I372" s="9"/>
      <c r="J372" s="9"/>
      <c r="K372" s="10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7"/>
      <c r="B373" s="8"/>
      <c r="C373" s="8"/>
      <c r="D373" s="8"/>
      <c r="E373" s="8"/>
      <c r="F373" s="8"/>
      <c r="G373" s="8"/>
      <c r="H373" s="8"/>
      <c r="I373" s="9"/>
      <c r="J373" s="9"/>
      <c r="K373" s="10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7"/>
      <c r="B374" s="8"/>
      <c r="C374" s="8"/>
      <c r="D374" s="8"/>
      <c r="E374" s="8"/>
      <c r="F374" s="8"/>
      <c r="G374" s="8"/>
      <c r="H374" s="8"/>
      <c r="I374" s="9"/>
      <c r="J374" s="9"/>
      <c r="K374" s="10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7"/>
      <c r="B375" s="8"/>
      <c r="C375" s="8"/>
      <c r="D375" s="8"/>
      <c r="E375" s="8"/>
      <c r="F375" s="8"/>
      <c r="G375" s="8"/>
      <c r="H375" s="8"/>
      <c r="I375" s="9"/>
      <c r="J375" s="9"/>
      <c r="K375" s="10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7"/>
      <c r="B376" s="8"/>
      <c r="C376" s="8"/>
      <c r="D376" s="8"/>
      <c r="E376" s="8"/>
      <c r="F376" s="8"/>
      <c r="G376" s="8"/>
      <c r="H376" s="8"/>
      <c r="I376" s="9"/>
      <c r="J376" s="9"/>
      <c r="K376" s="10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7"/>
      <c r="B377" s="8"/>
      <c r="C377" s="8"/>
      <c r="D377" s="8"/>
      <c r="E377" s="8"/>
      <c r="F377" s="8"/>
      <c r="G377" s="8"/>
      <c r="H377" s="8"/>
      <c r="I377" s="9"/>
      <c r="J377" s="9"/>
      <c r="K377" s="10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7"/>
      <c r="B378" s="8"/>
      <c r="C378" s="8"/>
      <c r="D378" s="8"/>
      <c r="E378" s="8"/>
      <c r="F378" s="8"/>
      <c r="G378" s="8"/>
      <c r="H378" s="8"/>
      <c r="I378" s="9"/>
      <c r="J378" s="9"/>
      <c r="K378" s="10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7"/>
      <c r="B379" s="8"/>
      <c r="C379" s="8"/>
      <c r="D379" s="8"/>
      <c r="E379" s="8"/>
      <c r="F379" s="8"/>
      <c r="G379" s="8"/>
      <c r="H379" s="8"/>
      <c r="I379" s="9"/>
      <c r="J379" s="9"/>
      <c r="K379" s="10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7"/>
      <c r="B380" s="8"/>
      <c r="C380" s="8"/>
      <c r="D380" s="8"/>
      <c r="E380" s="8"/>
      <c r="F380" s="8"/>
      <c r="G380" s="8"/>
      <c r="H380" s="8"/>
      <c r="I380" s="9"/>
      <c r="J380" s="9"/>
      <c r="K380" s="10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7"/>
      <c r="B381" s="8"/>
      <c r="C381" s="8"/>
      <c r="D381" s="8"/>
      <c r="E381" s="8"/>
      <c r="F381" s="8"/>
      <c r="G381" s="8"/>
      <c r="H381" s="8"/>
      <c r="I381" s="9"/>
      <c r="J381" s="9"/>
      <c r="K381" s="10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7"/>
      <c r="B382" s="8"/>
      <c r="C382" s="8"/>
      <c r="D382" s="8"/>
      <c r="E382" s="8"/>
      <c r="F382" s="8"/>
      <c r="G382" s="8"/>
      <c r="H382" s="8"/>
      <c r="I382" s="9"/>
      <c r="J382" s="9"/>
      <c r="K382" s="10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7"/>
      <c r="B383" s="8"/>
      <c r="C383" s="8"/>
      <c r="D383" s="8"/>
      <c r="E383" s="8"/>
      <c r="F383" s="8"/>
      <c r="G383" s="8"/>
      <c r="H383" s="8"/>
      <c r="I383" s="9"/>
      <c r="J383" s="9"/>
      <c r="K383" s="10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7"/>
      <c r="B384" s="8"/>
      <c r="C384" s="8"/>
      <c r="D384" s="8"/>
      <c r="E384" s="8"/>
      <c r="F384" s="8"/>
      <c r="G384" s="8"/>
      <c r="H384" s="8"/>
      <c r="I384" s="9"/>
      <c r="J384" s="9"/>
      <c r="K384" s="10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7"/>
      <c r="B385" s="8"/>
      <c r="C385" s="8"/>
      <c r="D385" s="8"/>
      <c r="E385" s="8"/>
      <c r="F385" s="8"/>
      <c r="G385" s="8"/>
      <c r="H385" s="8"/>
      <c r="I385" s="9"/>
      <c r="J385" s="9"/>
      <c r="K385" s="10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11"/>
      <c r="B386" s="12"/>
      <c r="C386" s="12"/>
      <c r="D386" s="12"/>
      <c r="E386" s="12"/>
      <c r="F386" s="12"/>
      <c r="G386" s="12"/>
      <c r="H386" s="12"/>
      <c r="I386" s="14"/>
      <c r="J386" s="14"/>
      <c r="K386" s="10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7"/>
      <c r="B387" s="8"/>
      <c r="C387" s="8"/>
      <c r="D387" s="8"/>
      <c r="E387" s="8"/>
      <c r="F387" s="8"/>
      <c r="G387" s="8"/>
      <c r="H387" s="8"/>
      <c r="I387" s="9"/>
      <c r="J387" s="9"/>
      <c r="K387" s="10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7"/>
      <c r="B388" s="8"/>
      <c r="C388" s="8"/>
      <c r="D388" s="8"/>
      <c r="E388" s="8"/>
      <c r="F388" s="8"/>
      <c r="G388" s="8"/>
      <c r="H388" s="8"/>
      <c r="I388" s="9"/>
      <c r="J388" s="9"/>
      <c r="K388" s="10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7"/>
      <c r="B389" s="8"/>
      <c r="C389" s="8"/>
      <c r="D389" s="8"/>
      <c r="E389" s="8"/>
      <c r="F389" s="8"/>
      <c r="G389" s="8"/>
      <c r="H389" s="8"/>
      <c r="I389" s="9"/>
      <c r="J389" s="9"/>
      <c r="K389" s="10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7"/>
      <c r="B390" s="8"/>
      <c r="C390" s="8"/>
      <c r="D390" s="8"/>
      <c r="E390" s="8"/>
      <c r="F390" s="8"/>
      <c r="G390" s="8"/>
      <c r="H390" s="8"/>
      <c r="I390" s="9"/>
      <c r="J390" s="9"/>
      <c r="K390" s="10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7"/>
      <c r="B391" s="8"/>
      <c r="C391" s="8"/>
      <c r="D391" s="8"/>
      <c r="E391" s="8"/>
      <c r="F391" s="8"/>
      <c r="G391" s="8"/>
      <c r="H391" s="8"/>
      <c r="I391" s="9"/>
      <c r="J391" s="9"/>
      <c r="K391" s="10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7"/>
      <c r="B392" s="8"/>
      <c r="C392" s="8"/>
      <c r="D392" s="8"/>
      <c r="E392" s="8"/>
      <c r="F392" s="8"/>
      <c r="G392" s="8"/>
      <c r="H392" s="8"/>
      <c r="I392" s="9"/>
      <c r="J392" s="9"/>
      <c r="K392" s="10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7"/>
      <c r="B393" s="8"/>
      <c r="C393" s="8"/>
      <c r="D393" s="8"/>
      <c r="E393" s="8"/>
      <c r="F393" s="8"/>
      <c r="G393" s="8"/>
      <c r="H393" s="8"/>
      <c r="I393" s="9"/>
      <c r="J393" s="9"/>
      <c r="K393" s="10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7"/>
      <c r="B394" s="8"/>
      <c r="C394" s="8"/>
      <c r="D394" s="8"/>
      <c r="E394" s="8"/>
      <c r="F394" s="8"/>
      <c r="G394" s="8"/>
      <c r="H394" s="8"/>
      <c r="I394" s="9"/>
      <c r="J394" s="9"/>
      <c r="K394" s="10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7"/>
      <c r="B395" s="8"/>
      <c r="C395" s="8"/>
      <c r="D395" s="8"/>
      <c r="E395" s="8"/>
      <c r="F395" s="8"/>
      <c r="G395" s="8"/>
      <c r="H395" s="8"/>
      <c r="I395" s="9"/>
      <c r="J395" s="9"/>
      <c r="K395" s="10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7"/>
      <c r="B396" s="8"/>
      <c r="C396" s="8"/>
      <c r="D396" s="8"/>
      <c r="E396" s="8"/>
      <c r="F396" s="8"/>
      <c r="G396" s="8"/>
      <c r="H396" s="8"/>
      <c r="I396" s="9"/>
      <c r="J396" s="9"/>
      <c r="K396" s="10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7"/>
      <c r="B397" s="8"/>
      <c r="C397" s="8"/>
      <c r="D397" s="8"/>
      <c r="E397" s="8"/>
      <c r="F397" s="8"/>
      <c r="G397" s="8"/>
      <c r="H397" s="8"/>
      <c r="I397" s="9"/>
      <c r="J397" s="9"/>
      <c r="K397" s="10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7"/>
      <c r="B398" s="8"/>
      <c r="C398" s="8"/>
      <c r="D398" s="8"/>
      <c r="E398" s="8"/>
      <c r="F398" s="8"/>
      <c r="G398" s="8"/>
      <c r="H398" s="8"/>
      <c r="I398" s="9"/>
      <c r="J398" s="9"/>
      <c r="K398" s="1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7"/>
      <c r="B399" s="8"/>
      <c r="C399" s="8"/>
      <c r="D399" s="8"/>
      <c r="E399" s="8"/>
      <c r="F399" s="8"/>
      <c r="G399" s="8"/>
      <c r="H399" s="8"/>
      <c r="I399" s="9"/>
      <c r="J399" s="9"/>
      <c r="K399" s="1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7"/>
      <c r="B400" s="8"/>
      <c r="C400" s="8"/>
      <c r="D400" s="8"/>
      <c r="E400" s="8"/>
      <c r="F400" s="8"/>
      <c r="G400" s="8"/>
      <c r="H400" s="8"/>
      <c r="I400" s="9"/>
      <c r="J400" s="9"/>
      <c r="K400" s="1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7"/>
      <c r="B401" s="8"/>
      <c r="C401" s="8"/>
      <c r="D401" s="8"/>
      <c r="E401" s="8"/>
      <c r="F401" s="8"/>
      <c r="G401" s="8"/>
      <c r="H401" s="8"/>
      <c r="I401" s="9"/>
      <c r="J401" s="9"/>
      <c r="K401" s="1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7"/>
      <c r="B402" s="8"/>
      <c r="C402" s="8"/>
      <c r="D402" s="8"/>
      <c r="E402" s="8"/>
      <c r="F402" s="8"/>
      <c r="G402" s="8"/>
      <c r="H402" s="8"/>
      <c r="I402" s="9"/>
      <c r="J402" s="9"/>
      <c r="K402" s="10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7"/>
      <c r="B403" s="8"/>
      <c r="C403" s="8"/>
      <c r="D403" s="8"/>
      <c r="E403" s="8"/>
      <c r="F403" s="8"/>
      <c r="G403" s="8"/>
      <c r="H403" s="8"/>
      <c r="I403" s="9"/>
      <c r="J403" s="9"/>
      <c r="K403" s="10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7"/>
      <c r="B404" s="8"/>
      <c r="C404" s="8"/>
      <c r="D404" s="8"/>
      <c r="E404" s="8"/>
      <c r="F404" s="8"/>
      <c r="G404" s="8"/>
      <c r="H404" s="8"/>
      <c r="I404" s="9"/>
      <c r="J404" s="9"/>
      <c r="K404" s="10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7"/>
      <c r="B405" s="8"/>
      <c r="C405" s="8"/>
      <c r="D405" s="8"/>
      <c r="E405" s="8"/>
      <c r="F405" s="8"/>
      <c r="G405" s="8"/>
      <c r="H405" s="8"/>
      <c r="I405" s="9"/>
      <c r="J405" s="9"/>
      <c r="K405" s="10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7"/>
      <c r="B406" s="8"/>
      <c r="C406" s="8"/>
      <c r="D406" s="8"/>
      <c r="E406" s="8"/>
      <c r="F406" s="8"/>
      <c r="G406" s="8"/>
      <c r="H406" s="8"/>
      <c r="I406" s="9"/>
      <c r="J406" s="9"/>
      <c r="K406" s="10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7"/>
      <c r="B407" s="8"/>
      <c r="C407" s="8"/>
      <c r="D407" s="8"/>
      <c r="E407" s="8"/>
      <c r="F407" s="8"/>
      <c r="G407" s="8"/>
      <c r="H407" s="8"/>
      <c r="I407" s="9"/>
      <c r="J407" s="9"/>
      <c r="K407" s="10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7"/>
      <c r="B408" s="8"/>
      <c r="C408" s="8"/>
      <c r="D408" s="8"/>
      <c r="E408" s="8"/>
      <c r="F408" s="8"/>
      <c r="G408" s="8"/>
      <c r="H408" s="8"/>
      <c r="I408" s="9"/>
      <c r="J408" s="9"/>
      <c r="K408" s="10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7"/>
      <c r="B409" s="8"/>
      <c r="C409" s="8"/>
      <c r="D409" s="8"/>
      <c r="E409" s="8"/>
      <c r="F409" s="8"/>
      <c r="G409" s="8"/>
      <c r="H409" s="8"/>
      <c r="I409" s="9"/>
      <c r="J409" s="9"/>
      <c r="K409" s="10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7"/>
      <c r="B410" s="8"/>
      <c r="C410" s="8"/>
      <c r="D410" s="8"/>
      <c r="E410" s="8"/>
      <c r="F410" s="8"/>
      <c r="G410" s="8"/>
      <c r="H410" s="8"/>
      <c r="I410" s="9"/>
      <c r="J410" s="9"/>
      <c r="K410" s="10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7"/>
      <c r="B411" s="8"/>
      <c r="C411" s="8"/>
      <c r="D411" s="8"/>
      <c r="E411" s="8"/>
      <c r="F411" s="8"/>
      <c r="G411" s="8"/>
      <c r="H411" s="8"/>
      <c r="I411" s="9"/>
      <c r="J411" s="9"/>
      <c r="K411" s="1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7"/>
      <c r="B412" s="8"/>
      <c r="C412" s="8"/>
      <c r="D412" s="8"/>
      <c r="E412" s="8"/>
      <c r="F412" s="8"/>
      <c r="G412" s="8"/>
      <c r="H412" s="8"/>
      <c r="I412" s="9"/>
      <c r="J412" s="9"/>
      <c r="K412" s="1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7"/>
      <c r="B413" s="8"/>
      <c r="C413" s="8"/>
      <c r="D413" s="8"/>
      <c r="E413" s="8"/>
      <c r="F413" s="8"/>
      <c r="G413" s="8"/>
      <c r="H413" s="8"/>
      <c r="I413" s="9"/>
      <c r="J413" s="9"/>
      <c r="K413" s="1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7"/>
      <c r="B414" s="8"/>
      <c r="C414" s="8"/>
      <c r="D414" s="8"/>
      <c r="E414" s="8"/>
      <c r="F414" s="8"/>
      <c r="G414" s="8"/>
      <c r="H414" s="8"/>
      <c r="I414" s="9"/>
      <c r="J414" s="9"/>
      <c r="K414" s="1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7"/>
      <c r="B415" s="8"/>
      <c r="C415" s="8"/>
      <c r="D415" s="8"/>
      <c r="E415" s="8"/>
      <c r="F415" s="8"/>
      <c r="G415" s="8"/>
      <c r="H415" s="8"/>
      <c r="I415" s="9"/>
      <c r="J415" s="9"/>
      <c r="K415" s="10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7"/>
      <c r="B416" s="8"/>
      <c r="C416" s="8"/>
      <c r="D416" s="8"/>
      <c r="E416" s="8"/>
      <c r="F416" s="8"/>
      <c r="G416" s="8"/>
      <c r="H416" s="8"/>
      <c r="I416" s="9"/>
      <c r="J416" s="9"/>
      <c r="K416" s="10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7"/>
      <c r="B417" s="8"/>
      <c r="C417" s="8"/>
      <c r="D417" s="8"/>
      <c r="E417" s="8"/>
      <c r="F417" s="8"/>
      <c r="G417" s="8"/>
      <c r="H417" s="8"/>
      <c r="I417" s="9"/>
      <c r="J417" s="9"/>
      <c r="K417" s="10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7"/>
      <c r="B418" s="8"/>
      <c r="C418" s="8"/>
      <c r="D418" s="8"/>
      <c r="E418" s="8"/>
      <c r="F418" s="8"/>
      <c r="G418" s="8"/>
      <c r="H418" s="8"/>
      <c r="I418" s="9"/>
      <c r="J418" s="9"/>
      <c r="K418" s="10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7"/>
      <c r="B419" s="8"/>
      <c r="C419" s="8"/>
      <c r="D419" s="8"/>
      <c r="E419" s="8"/>
      <c r="F419" s="8"/>
      <c r="G419" s="8"/>
      <c r="H419" s="8"/>
      <c r="I419" s="9"/>
      <c r="J419" s="9"/>
      <c r="K419" s="10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7"/>
      <c r="B420" s="8"/>
      <c r="C420" s="8"/>
      <c r="D420" s="8"/>
      <c r="E420" s="8"/>
      <c r="F420" s="8"/>
      <c r="G420" s="8"/>
      <c r="H420" s="8"/>
      <c r="I420" s="9"/>
      <c r="J420" s="9"/>
      <c r="K420" s="10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7"/>
      <c r="B421" s="8"/>
      <c r="C421" s="8"/>
      <c r="D421" s="8"/>
      <c r="E421" s="8"/>
      <c r="F421" s="8"/>
      <c r="G421" s="8"/>
      <c r="H421" s="8"/>
      <c r="I421" s="9"/>
      <c r="J421" s="9"/>
      <c r="K421" s="10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7"/>
      <c r="B422" s="8"/>
      <c r="C422" s="8"/>
      <c r="D422" s="8"/>
      <c r="E422" s="8"/>
      <c r="F422" s="8"/>
      <c r="G422" s="8"/>
      <c r="H422" s="8"/>
      <c r="I422" s="9"/>
      <c r="J422" s="9"/>
      <c r="K422" s="10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7"/>
      <c r="B423" s="8"/>
      <c r="C423" s="8"/>
      <c r="D423" s="8"/>
      <c r="E423" s="8"/>
      <c r="F423" s="8"/>
      <c r="G423" s="8"/>
      <c r="H423" s="8"/>
      <c r="I423" s="9"/>
      <c r="J423" s="9"/>
      <c r="K423" s="10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7"/>
      <c r="B424" s="8"/>
      <c r="C424" s="8"/>
      <c r="D424" s="8"/>
      <c r="E424" s="8"/>
      <c r="F424" s="8"/>
      <c r="G424" s="8"/>
      <c r="H424" s="8"/>
      <c r="I424" s="9"/>
      <c r="J424" s="9"/>
      <c r="K424" s="10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7"/>
      <c r="B425" s="8"/>
      <c r="C425" s="8"/>
      <c r="D425" s="8"/>
      <c r="E425" s="8"/>
      <c r="F425" s="8"/>
      <c r="G425" s="8"/>
      <c r="H425" s="8"/>
      <c r="I425" s="9"/>
      <c r="J425" s="9"/>
      <c r="K425" s="10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7"/>
      <c r="B426" s="8"/>
      <c r="C426" s="8"/>
      <c r="D426" s="8"/>
      <c r="E426" s="8"/>
      <c r="F426" s="8"/>
      <c r="G426" s="8"/>
      <c r="H426" s="8"/>
      <c r="I426" s="9"/>
      <c r="J426" s="9"/>
      <c r="K426" s="10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7"/>
      <c r="B427" s="8"/>
      <c r="C427" s="8"/>
      <c r="D427" s="8"/>
      <c r="E427" s="8"/>
      <c r="F427" s="8"/>
      <c r="G427" s="8"/>
      <c r="H427" s="8"/>
      <c r="I427" s="9"/>
      <c r="J427" s="9"/>
      <c r="K427" s="10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7"/>
      <c r="B428" s="8"/>
      <c r="C428" s="8"/>
      <c r="D428" s="8"/>
      <c r="E428" s="8"/>
      <c r="F428" s="8"/>
      <c r="G428" s="8"/>
      <c r="H428" s="8"/>
      <c r="I428" s="9"/>
      <c r="J428" s="9"/>
      <c r="K428" s="10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7"/>
      <c r="B429" s="8"/>
      <c r="C429" s="8"/>
      <c r="D429" s="8"/>
      <c r="E429" s="8"/>
      <c r="F429" s="8"/>
      <c r="G429" s="8"/>
      <c r="H429" s="8"/>
      <c r="I429" s="9"/>
      <c r="J429" s="9"/>
      <c r="K429" s="10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7"/>
      <c r="B430" s="8"/>
      <c r="C430" s="8"/>
      <c r="D430" s="8"/>
      <c r="E430" s="8"/>
      <c r="F430" s="8"/>
      <c r="G430" s="8"/>
      <c r="H430" s="8"/>
      <c r="I430" s="9"/>
      <c r="J430" s="9"/>
      <c r="K430" s="10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7"/>
      <c r="B431" s="8"/>
      <c r="C431" s="8"/>
      <c r="D431" s="8"/>
      <c r="E431" s="8"/>
      <c r="F431" s="8"/>
      <c r="G431" s="8"/>
      <c r="H431" s="8"/>
      <c r="I431" s="9"/>
      <c r="J431" s="9"/>
      <c r="K431" s="10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7"/>
      <c r="B432" s="8"/>
      <c r="C432" s="8"/>
      <c r="D432" s="8"/>
      <c r="E432" s="8"/>
      <c r="F432" s="8"/>
      <c r="G432" s="8"/>
      <c r="H432" s="8"/>
      <c r="I432" s="9"/>
      <c r="J432" s="9"/>
      <c r="K432" s="10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7"/>
      <c r="B433" s="8"/>
      <c r="C433" s="8"/>
      <c r="D433" s="8"/>
      <c r="E433" s="8"/>
      <c r="F433" s="8"/>
      <c r="G433" s="8"/>
      <c r="H433" s="8"/>
      <c r="I433" s="9"/>
      <c r="J433" s="9"/>
      <c r="K433" s="10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7"/>
      <c r="B434" s="8"/>
      <c r="C434" s="8"/>
      <c r="D434" s="8"/>
      <c r="E434" s="8"/>
      <c r="F434" s="8"/>
      <c r="G434" s="8"/>
      <c r="H434" s="8"/>
      <c r="I434" s="9"/>
      <c r="J434" s="9"/>
      <c r="K434" s="10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7"/>
      <c r="B435" s="8"/>
      <c r="C435" s="8"/>
      <c r="D435" s="8"/>
      <c r="E435" s="8"/>
      <c r="F435" s="8"/>
      <c r="G435" s="8"/>
      <c r="H435" s="8"/>
      <c r="I435" s="9"/>
      <c r="J435" s="9"/>
      <c r="K435" s="10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7"/>
      <c r="B436" s="8"/>
      <c r="C436" s="8"/>
      <c r="D436" s="8"/>
      <c r="E436" s="8"/>
      <c r="F436" s="8"/>
      <c r="G436" s="8"/>
      <c r="H436" s="8"/>
      <c r="I436" s="9"/>
      <c r="J436" s="9"/>
      <c r="K436" s="10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7"/>
      <c r="B437" s="8"/>
      <c r="C437" s="8"/>
      <c r="D437" s="8"/>
      <c r="E437" s="8"/>
      <c r="F437" s="8"/>
      <c r="G437" s="8"/>
      <c r="H437" s="8"/>
      <c r="I437" s="9"/>
      <c r="J437" s="9"/>
      <c r="K437" s="10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7"/>
      <c r="B438" s="8"/>
      <c r="C438" s="8"/>
      <c r="D438" s="8"/>
      <c r="E438" s="8"/>
      <c r="F438" s="8"/>
      <c r="G438" s="8"/>
      <c r="H438" s="8"/>
      <c r="I438" s="9"/>
      <c r="J438" s="9"/>
      <c r="K438" s="10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7"/>
      <c r="B439" s="8"/>
      <c r="C439" s="8"/>
      <c r="D439" s="8"/>
      <c r="E439" s="8"/>
      <c r="F439" s="8"/>
      <c r="G439" s="8"/>
      <c r="H439" s="8"/>
      <c r="I439" s="9"/>
      <c r="J439" s="9"/>
      <c r="K439" s="10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7"/>
      <c r="B440" s="8"/>
      <c r="C440" s="8"/>
      <c r="D440" s="8"/>
      <c r="E440" s="8"/>
      <c r="F440" s="8"/>
      <c r="G440" s="8"/>
      <c r="H440" s="8"/>
      <c r="I440" s="9"/>
      <c r="J440" s="9"/>
      <c r="K440" s="10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7"/>
      <c r="B441" s="8"/>
      <c r="C441" s="8"/>
      <c r="D441" s="8"/>
      <c r="E441" s="8"/>
      <c r="F441" s="8"/>
      <c r="G441" s="8"/>
      <c r="H441" s="8"/>
      <c r="I441" s="9"/>
      <c r="J441" s="9"/>
      <c r="K441" s="10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7"/>
      <c r="B442" s="8"/>
      <c r="C442" s="8"/>
      <c r="D442" s="8"/>
      <c r="E442" s="8"/>
      <c r="F442" s="8"/>
      <c r="G442" s="8"/>
      <c r="H442" s="8"/>
      <c r="I442" s="9"/>
      <c r="J442" s="9"/>
      <c r="K442" s="10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7"/>
      <c r="B443" s="8"/>
      <c r="C443" s="8"/>
      <c r="D443" s="8"/>
      <c r="E443" s="8"/>
      <c r="F443" s="8"/>
      <c r="G443" s="8"/>
      <c r="H443" s="8"/>
      <c r="I443" s="9"/>
      <c r="J443" s="9"/>
      <c r="K443" s="10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7"/>
      <c r="B444" s="8"/>
      <c r="C444" s="8"/>
      <c r="D444" s="8"/>
      <c r="E444" s="8"/>
      <c r="F444" s="8"/>
      <c r="G444" s="8"/>
      <c r="H444" s="8"/>
      <c r="I444" s="9"/>
      <c r="J444" s="9"/>
      <c r="K444" s="1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7"/>
      <c r="B445" s="8"/>
      <c r="C445" s="8"/>
      <c r="D445" s="8"/>
      <c r="E445" s="8"/>
      <c r="F445" s="8"/>
      <c r="G445" s="8"/>
      <c r="H445" s="8"/>
      <c r="I445" s="9"/>
      <c r="J445" s="9"/>
      <c r="K445" s="1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7"/>
      <c r="B446" s="8"/>
      <c r="C446" s="8"/>
      <c r="D446" s="8"/>
      <c r="E446" s="8"/>
      <c r="F446" s="8"/>
      <c r="G446" s="8"/>
      <c r="H446" s="8"/>
      <c r="I446" s="9"/>
      <c r="J446" s="9"/>
      <c r="K446" s="10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7"/>
      <c r="B447" s="8"/>
      <c r="C447" s="8"/>
      <c r="D447" s="8"/>
      <c r="E447" s="8"/>
      <c r="F447" s="8"/>
      <c r="G447" s="8"/>
      <c r="H447" s="8"/>
      <c r="I447" s="9"/>
      <c r="J447" s="9"/>
      <c r="K447" s="10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7"/>
      <c r="B448" s="8"/>
      <c r="C448" s="8"/>
      <c r="D448" s="8"/>
      <c r="E448" s="8"/>
      <c r="F448" s="8"/>
      <c r="G448" s="8"/>
      <c r="H448" s="8"/>
      <c r="I448" s="9"/>
      <c r="J448" s="9"/>
      <c r="K448" s="10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7"/>
      <c r="B449" s="8"/>
      <c r="C449" s="8"/>
      <c r="D449" s="8"/>
      <c r="E449" s="8"/>
      <c r="F449" s="8"/>
      <c r="G449" s="8"/>
      <c r="H449" s="8"/>
      <c r="I449" s="9"/>
      <c r="J449" s="9"/>
      <c r="K449" s="10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7"/>
      <c r="B450" s="8"/>
      <c r="C450" s="8"/>
      <c r="D450" s="8"/>
      <c r="E450" s="8"/>
      <c r="F450" s="8"/>
      <c r="G450" s="8"/>
      <c r="H450" s="8"/>
      <c r="I450" s="9"/>
      <c r="J450" s="9"/>
      <c r="K450" s="10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7"/>
      <c r="B451" s="8"/>
      <c r="C451" s="8"/>
      <c r="D451" s="8"/>
      <c r="E451" s="8"/>
      <c r="F451" s="8"/>
      <c r="G451" s="8"/>
      <c r="H451" s="8"/>
      <c r="I451" s="9"/>
      <c r="J451" s="9"/>
      <c r="K451" s="10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7"/>
      <c r="B452" s="8"/>
      <c r="C452" s="8"/>
      <c r="D452" s="8"/>
      <c r="E452" s="8"/>
      <c r="F452" s="8"/>
      <c r="G452" s="8"/>
      <c r="H452" s="8"/>
      <c r="I452" s="9"/>
      <c r="J452" s="9"/>
      <c r="K452" s="1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7"/>
      <c r="B453" s="8"/>
      <c r="C453" s="8"/>
      <c r="D453" s="8"/>
      <c r="E453" s="8"/>
      <c r="F453" s="8"/>
      <c r="G453" s="8"/>
      <c r="H453" s="8"/>
      <c r="I453" s="9"/>
      <c r="J453" s="9"/>
      <c r="K453" s="1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7"/>
      <c r="B454" s="8"/>
      <c r="C454" s="8"/>
      <c r="D454" s="8"/>
      <c r="E454" s="8"/>
      <c r="F454" s="8"/>
      <c r="G454" s="8"/>
      <c r="H454" s="8"/>
      <c r="I454" s="9"/>
      <c r="J454" s="9"/>
      <c r="K454" s="1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7"/>
      <c r="B455" s="8"/>
      <c r="C455" s="8"/>
      <c r="D455" s="8"/>
      <c r="E455" s="8"/>
      <c r="F455" s="8"/>
      <c r="G455" s="8"/>
      <c r="H455" s="8"/>
      <c r="I455" s="9"/>
      <c r="J455" s="9"/>
      <c r="K455" s="1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7"/>
      <c r="B456" s="8"/>
      <c r="C456" s="8"/>
      <c r="D456" s="8"/>
      <c r="E456" s="8"/>
      <c r="F456" s="8"/>
      <c r="G456" s="8"/>
      <c r="H456" s="8"/>
      <c r="I456" s="9"/>
      <c r="J456" s="9"/>
      <c r="K456" s="10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7"/>
      <c r="B457" s="8"/>
      <c r="C457" s="8"/>
      <c r="D457" s="8"/>
      <c r="E457" s="8"/>
      <c r="F457" s="8"/>
      <c r="G457" s="8"/>
      <c r="H457" s="8"/>
      <c r="I457" s="9"/>
      <c r="J457" s="9"/>
      <c r="K457" s="10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7"/>
      <c r="B458" s="8"/>
      <c r="C458" s="8"/>
      <c r="D458" s="8"/>
      <c r="E458" s="8"/>
      <c r="F458" s="8"/>
      <c r="G458" s="8"/>
      <c r="H458" s="8"/>
      <c r="I458" s="9"/>
      <c r="J458" s="9"/>
      <c r="K458" s="10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7"/>
      <c r="B459" s="8"/>
      <c r="C459" s="8"/>
      <c r="D459" s="8"/>
      <c r="E459" s="8"/>
      <c r="F459" s="8"/>
      <c r="G459" s="8"/>
      <c r="H459" s="8"/>
      <c r="I459" s="9"/>
      <c r="J459" s="9"/>
      <c r="K459" s="10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7"/>
      <c r="B460" s="8"/>
      <c r="C460" s="8"/>
      <c r="D460" s="8"/>
      <c r="E460" s="8"/>
      <c r="F460" s="8"/>
      <c r="G460" s="8"/>
      <c r="H460" s="8"/>
      <c r="I460" s="9"/>
      <c r="J460" s="9"/>
      <c r="K460" s="10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7"/>
      <c r="B461" s="8"/>
      <c r="C461" s="8"/>
      <c r="D461" s="8"/>
      <c r="E461" s="8"/>
      <c r="F461" s="8"/>
      <c r="G461" s="8"/>
      <c r="H461" s="8"/>
      <c r="I461" s="9"/>
      <c r="J461" s="9"/>
      <c r="K461" s="10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7"/>
      <c r="B462" s="8"/>
      <c r="C462" s="8"/>
      <c r="D462" s="8"/>
      <c r="E462" s="8"/>
      <c r="F462" s="8"/>
      <c r="G462" s="8"/>
      <c r="H462" s="8"/>
      <c r="I462" s="9"/>
      <c r="J462" s="9"/>
      <c r="K462" s="10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7"/>
      <c r="B463" s="8"/>
      <c r="C463" s="8"/>
      <c r="D463" s="8"/>
      <c r="E463" s="8"/>
      <c r="F463" s="8"/>
      <c r="G463" s="8"/>
      <c r="H463" s="8"/>
      <c r="I463" s="9"/>
      <c r="J463" s="9"/>
      <c r="K463" s="10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7"/>
      <c r="B464" s="8"/>
      <c r="C464" s="8"/>
      <c r="D464" s="8"/>
      <c r="E464" s="8"/>
      <c r="F464" s="8"/>
      <c r="G464" s="8"/>
      <c r="H464" s="8"/>
      <c r="I464" s="9"/>
      <c r="J464" s="9"/>
      <c r="K464" s="1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7"/>
      <c r="B465" s="8"/>
      <c r="C465" s="8"/>
      <c r="D465" s="8"/>
      <c r="E465" s="8"/>
      <c r="F465" s="8"/>
      <c r="G465" s="8"/>
      <c r="H465" s="8"/>
      <c r="I465" s="9"/>
      <c r="J465" s="9"/>
      <c r="K465" s="1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7"/>
      <c r="B466" s="8"/>
      <c r="C466" s="8"/>
      <c r="D466" s="8"/>
      <c r="E466" s="8"/>
      <c r="F466" s="8"/>
      <c r="G466" s="8"/>
      <c r="H466" s="8"/>
      <c r="I466" s="9"/>
      <c r="J466" s="9"/>
      <c r="K466" s="1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7"/>
      <c r="B467" s="8"/>
      <c r="C467" s="8"/>
      <c r="D467" s="8"/>
      <c r="E467" s="8"/>
      <c r="F467" s="8"/>
      <c r="G467" s="8"/>
      <c r="H467" s="8"/>
      <c r="I467" s="9"/>
      <c r="J467" s="9"/>
      <c r="K467" s="1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7"/>
      <c r="B468" s="8"/>
      <c r="C468" s="8"/>
      <c r="D468" s="8"/>
      <c r="E468" s="8"/>
      <c r="F468" s="8"/>
      <c r="G468" s="8"/>
      <c r="H468" s="8"/>
      <c r="I468" s="9"/>
      <c r="J468" s="9"/>
      <c r="K468" s="10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7"/>
      <c r="B469" s="8"/>
      <c r="C469" s="8"/>
      <c r="D469" s="8"/>
      <c r="E469" s="8"/>
      <c r="F469" s="8"/>
      <c r="G469" s="8"/>
      <c r="H469" s="8"/>
      <c r="I469" s="9"/>
      <c r="J469" s="9"/>
      <c r="K469" s="10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7"/>
      <c r="B470" s="8"/>
      <c r="C470" s="8"/>
      <c r="D470" s="8"/>
      <c r="E470" s="8"/>
      <c r="F470" s="8"/>
      <c r="G470" s="8"/>
      <c r="H470" s="8"/>
      <c r="I470" s="9"/>
      <c r="J470" s="9"/>
      <c r="K470" s="10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7"/>
      <c r="B471" s="8"/>
      <c r="C471" s="8"/>
      <c r="D471" s="8"/>
      <c r="E471" s="8"/>
      <c r="F471" s="8"/>
      <c r="G471" s="8"/>
      <c r="H471" s="8"/>
      <c r="I471" s="9"/>
      <c r="J471" s="9"/>
      <c r="K471" s="10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7"/>
      <c r="B472" s="8"/>
      <c r="C472" s="8"/>
      <c r="D472" s="8"/>
      <c r="E472" s="8"/>
      <c r="F472" s="8"/>
      <c r="G472" s="8"/>
      <c r="H472" s="8"/>
      <c r="I472" s="9"/>
      <c r="J472" s="9"/>
      <c r="K472" s="10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7"/>
      <c r="B473" s="8"/>
      <c r="C473" s="8"/>
      <c r="D473" s="8"/>
      <c r="E473" s="8"/>
      <c r="F473" s="8"/>
      <c r="G473" s="8"/>
      <c r="H473" s="8"/>
      <c r="I473" s="9"/>
      <c r="J473" s="9"/>
      <c r="K473" s="10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7"/>
      <c r="B474" s="8"/>
      <c r="C474" s="8"/>
      <c r="D474" s="8"/>
      <c r="E474" s="8"/>
      <c r="F474" s="8"/>
      <c r="G474" s="8"/>
      <c r="H474" s="8"/>
      <c r="I474" s="9"/>
      <c r="J474" s="9"/>
      <c r="K474" s="10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7"/>
      <c r="B475" s="8"/>
      <c r="C475" s="8"/>
      <c r="D475" s="8"/>
      <c r="E475" s="8"/>
      <c r="F475" s="8"/>
      <c r="G475" s="8"/>
      <c r="H475" s="8"/>
      <c r="I475" s="9"/>
      <c r="J475" s="9"/>
      <c r="K475" s="10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7"/>
      <c r="B476" s="8"/>
      <c r="C476" s="8"/>
      <c r="D476" s="8"/>
      <c r="E476" s="8"/>
      <c r="F476" s="8"/>
      <c r="G476" s="8"/>
      <c r="H476" s="8"/>
      <c r="I476" s="9"/>
      <c r="J476" s="9"/>
      <c r="K476" s="10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7"/>
      <c r="B477" s="8"/>
      <c r="C477" s="8"/>
      <c r="D477" s="8"/>
      <c r="E477" s="8"/>
      <c r="F477" s="8"/>
      <c r="G477" s="8"/>
      <c r="H477" s="8"/>
      <c r="I477" s="9"/>
      <c r="J477" s="9"/>
      <c r="K477" s="10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7"/>
      <c r="B478" s="8"/>
      <c r="C478" s="8"/>
      <c r="D478" s="8"/>
      <c r="E478" s="8"/>
      <c r="F478" s="8"/>
      <c r="G478" s="8"/>
      <c r="H478" s="8"/>
      <c r="I478" s="9"/>
      <c r="J478" s="9"/>
      <c r="K478" s="10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7"/>
      <c r="B479" s="8"/>
      <c r="C479" s="8"/>
      <c r="D479" s="8"/>
      <c r="E479" s="8"/>
      <c r="F479" s="8"/>
      <c r="G479" s="8"/>
      <c r="H479" s="8"/>
      <c r="I479" s="9"/>
      <c r="J479" s="9"/>
      <c r="K479" s="10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7"/>
      <c r="B480" s="8"/>
      <c r="C480" s="8"/>
      <c r="D480" s="8"/>
      <c r="E480" s="8"/>
      <c r="F480" s="8"/>
      <c r="G480" s="8"/>
      <c r="H480" s="8"/>
      <c r="I480" s="9"/>
      <c r="J480" s="9"/>
      <c r="K480" s="10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7"/>
      <c r="B481" s="8"/>
      <c r="C481" s="8"/>
      <c r="D481" s="8"/>
      <c r="E481" s="8"/>
      <c r="F481" s="8"/>
      <c r="G481" s="8"/>
      <c r="H481" s="8"/>
      <c r="I481" s="9"/>
      <c r="J481" s="9"/>
      <c r="K481" s="10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7"/>
      <c r="B482" s="8"/>
      <c r="C482" s="8"/>
      <c r="D482" s="8"/>
      <c r="E482" s="8"/>
      <c r="F482" s="8"/>
      <c r="G482" s="8"/>
      <c r="H482" s="8"/>
      <c r="I482" s="9"/>
      <c r="J482" s="9"/>
      <c r="K482" s="10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7"/>
      <c r="B483" s="8"/>
      <c r="C483" s="8"/>
      <c r="D483" s="8"/>
      <c r="E483" s="8"/>
      <c r="F483" s="8"/>
      <c r="G483" s="8"/>
      <c r="H483" s="8"/>
      <c r="I483" s="9"/>
      <c r="J483" s="9"/>
      <c r="K483" s="10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7"/>
      <c r="B484" s="8"/>
      <c r="C484" s="8"/>
      <c r="D484" s="8"/>
      <c r="E484" s="8"/>
      <c r="F484" s="8"/>
      <c r="G484" s="8"/>
      <c r="H484" s="8"/>
      <c r="I484" s="9"/>
      <c r="J484" s="9"/>
      <c r="K484" s="10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7"/>
      <c r="B485" s="8"/>
      <c r="C485" s="8"/>
      <c r="D485" s="8"/>
      <c r="E485" s="8"/>
      <c r="F485" s="8"/>
      <c r="G485" s="8"/>
      <c r="H485" s="8"/>
      <c r="I485" s="9"/>
      <c r="J485" s="9"/>
      <c r="K485" s="10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7"/>
      <c r="B486" s="8"/>
      <c r="C486" s="8"/>
      <c r="D486" s="8"/>
      <c r="E486" s="8"/>
      <c r="F486" s="8"/>
      <c r="G486" s="8"/>
      <c r="H486" s="8"/>
      <c r="I486" s="9"/>
      <c r="J486" s="9"/>
      <c r="K486" s="10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7"/>
      <c r="B487" s="8"/>
      <c r="C487" s="8"/>
      <c r="D487" s="8"/>
      <c r="E487" s="8"/>
      <c r="F487" s="8"/>
      <c r="G487" s="8"/>
      <c r="H487" s="8"/>
      <c r="I487" s="9"/>
      <c r="J487" s="9"/>
      <c r="K487" s="10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7"/>
      <c r="B488" s="8"/>
      <c r="C488" s="8"/>
      <c r="D488" s="8"/>
      <c r="E488" s="8"/>
      <c r="F488" s="8"/>
      <c r="G488" s="8"/>
      <c r="H488" s="8"/>
      <c r="I488" s="9"/>
      <c r="J488" s="9"/>
      <c r="K488" s="10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7"/>
      <c r="B489" s="8"/>
      <c r="C489" s="8"/>
      <c r="D489" s="8"/>
      <c r="E489" s="8"/>
      <c r="F489" s="8"/>
      <c r="G489" s="8"/>
      <c r="H489" s="8"/>
      <c r="I489" s="9"/>
      <c r="J489" s="9"/>
      <c r="K489" s="10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7"/>
      <c r="B490" s="8"/>
      <c r="C490" s="8"/>
      <c r="D490" s="8"/>
      <c r="E490" s="8"/>
      <c r="F490" s="8"/>
      <c r="G490" s="8"/>
      <c r="H490" s="8"/>
      <c r="I490" s="9"/>
      <c r="J490" s="9"/>
      <c r="K490" s="10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7"/>
      <c r="B491" s="8"/>
      <c r="C491" s="8"/>
      <c r="D491" s="8"/>
      <c r="E491" s="8"/>
      <c r="F491" s="8"/>
      <c r="G491" s="8"/>
      <c r="H491" s="8"/>
      <c r="I491" s="9"/>
      <c r="J491" s="9"/>
      <c r="K491" s="10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7"/>
      <c r="B492" s="8"/>
      <c r="C492" s="8"/>
      <c r="D492" s="8"/>
      <c r="E492" s="8"/>
      <c r="F492" s="8"/>
      <c r="G492" s="8"/>
      <c r="H492" s="8"/>
      <c r="I492" s="9"/>
      <c r="J492" s="9"/>
      <c r="K492" s="10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7"/>
      <c r="B493" s="8"/>
      <c r="C493" s="8"/>
      <c r="D493" s="8"/>
      <c r="E493" s="8"/>
      <c r="F493" s="8"/>
      <c r="G493" s="8"/>
      <c r="H493" s="8"/>
      <c r="I493" s="9"/>
      <c r="J493" s="9"/>
      <c r="K493" s="10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7"/>
      <c r="B494" s="8"/>
      <c r="C494" s="8"/>
      <c r="D494" s="8"/>
      <c r="E494" s="8"/>
      <c r="F494" s="8"/>
      <c r="G494" s="8"/>
      <c r="H494" s="8"/>
      <c r="I494" s="9"/>
      <c r="J494" s="9"/>
      <c r="K494" s="10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7"/>
      <c r="B495" s="8"/>
      <c r="C495" s="8"/>
      <c r="D495" s="8"/>
      <c r="E495" s="8"/>
      <c r="F495" s="8"/>
      <c r="G495" s="8"/>
      <c r="H495" s="8"/>
      <c r="I495" s="9"/>
      <c r="J495" s="9"/>
      <c r="K495" s="10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7"/>
      <c r="B496" s="8"/>
      <c r="C496" s="8"/>
      <c r="D496" s="8"/>
      <c r="E496" s="8"/>
      <c r="F496" s="8"/>
      <c r="G496" s="8"/>
      <c r="H496" s="8"/>
      <c r="I496" s="9"/>
      <c r="J496" s="9"/>
      <c r="K496" s="10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7"/>
      <c r="B497" s="8"/>
      <c r="C497" s="8"/>
      <c r="D497" s="8"/>
      <c r="E497" s="8"/>
      <c r="F497" s="8"/>
      <c r="G497" s="8"/>
      <c r="H497" s="8"/>
      <c r="I497" s="9"/>
      <c r="J497" s="9"/>
      <c r="K497" s="1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7"/>
      <c r="B498" s="8"/>
      <c r="C498" s="8"/>
      <c r="D498" s="8"/>
      <c r="E498" s="8"/>
      <c r="F498" s="8"/>
      <c r="G498" s="8"/>
      <c r="H498" s="8"/>
      <c r="I498" s="9"/>
      <c r="J498" s="9"/>
      <c r="K498" s="1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7"/>
      <c r="B499" s="8"/>
      <c r="C499" s="8"/>
      <c r="D499" s="8"/>
      <c r="E499" s="8"/>
      <c r="F499" s="8"/>
      <c r="G499" s="8"/>
      <c r="H499" s="8"/>
      <c r="I499" s="9"/>
      <c r="J499" s="9"/>
      <c r="K499" s="1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7"/>
      <c r="B500" s="8"/>
      <c r="C500" s="8"/>
      <c r="D500" s="8"/>
      <c r="E500" s="8"/>
      <c r="F500" s="8"/>
      <c r="G500" s="8"/>
      <c r="H500" s="8"/>
      <c r="I500" s="9"/>
      <c r="J500" s="9"/>
      <c r="K500" s="10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7"/>
      <c r="B501" s="8"/>
      <c r="C501" s="8"/>
      <c r="D501" s="8"/>
      <c r="E501" s="8"/>
      <c r="F501" s="8"/>
      <c r="G501" s="8"/>
      <c r="H501" s="8"/>
      <c r="I501" s="9"/>
      <c r="J501" s="9"/>
      <c r="K501" s="10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7"/>
      <c r="B502" s="8"/>
      <c r="C502" s="8"/>
      <c r="D502" s="8"/>
      <c r="E502" s="8"/>
      <c r="F502" s="8"/>
      <c r="G502" s="8"/>
      <c r="H502" s="8"/>
      <c r="I502" s="9"/>
      <c r="J502" s="9"/>
      <c r="K502" s="10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7"/>
      <c r="B503" s="8"/>
      <c r="C503" s="8"/>
      <c r="D503" s="8"/>
      <c r="E503" s="8"/>
      <c r="F503" s="8"/>
      <c r="G503" s="8"/>
      <c r="H503" s="8"/>
      <c r="I503" s="9"/>
      <c r="J503" s="9"/>
      <c r="K503" s="10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7"/>
      <c r="B504" s="8"/>
      <c r="C504" s="8"/>
      <c r="D504" s="8"/>
      <c r="E504" s="8"/>
      <c r="F504" s="8"/>
      <c r="G504" s="8"/>
      <c r="H504" s="8"/>
      <c r="I504" s="9"/>
      <c r="J504" s="9"/>
      <c r="K504" s="10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7"/>
      <c r="B505" s="8"/>
      <c r="C505" s="8"/>
      <c r="D505" s="8"/>
      <c r="E505" s="8"/>
      <c r="F505" s="8"/>
      <c r="G505" s="8"/>
      <c r="H505" s="8"/>
      <c r="I505" s="9"/>
      <c r="J505" s="9"/>
      <c r="K505" s="10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7"/>
      <c r="B506" s="8"/>
      <c r="C506" s="8"/>
      <c r="D506" s="8"/>
      <c r="E506" s="8"/>
      <c r="F506" s="8"/>
      <c r="G506" s="8"/>
      <c r="H506" s="8"/>
      <c r="I506" s="9"/>
      <c r="J506" s="9"/>
      <c r="K506" s="10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7"/>
      <c r="B507" s="8"/>
      <c r="C507" s="8"/>
      <c r="D507" s="8"/>
      <c r="E507" s="8"/>
      <c r="F507" s="8"/>
      <c r="G507" s="8"/>
      <c r="H507" s="8"/>
      <c r="I507" s="9"/>
      <c r="J507" s="9"/>
      <c r="K507" s="10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7"/>
      <c r="B508" s="8"/>
      <c r="C508" s="8"/>
      <c r="D508" s="8"/>
      <c r="E508" s="8"/>
      <c r="F508" s="8"/>
      <c r="G508" s="8"/>
      <c r="H508" s="8"/>
      <c r="I508" s="9"/>
      <c r="J508" s="9"/>
      <c r="K508" s="10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7"/>
      <c r="B509" s="8"/>
      <c r="C509" s="8"/>
      <c r="D509" s="8"/>
      <c r="E509" s="8"/>
      <c r="F509" s="8"/>
      <c r="G509" s="8"/>
      <c r="H509" s="8"/>
      <c r="I509" s="9"/>
      <c r="J509" s="9"/>
      <c r="K509" s="10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7"/>
      <c r="B510" s="8"/>
      <c r="C510" s="8"/>
      <c r="D510" s="8"/>
      <c r="E510" s="8"/>
      <c r="F510" s="8"/>
      <c r="G510" s="8"/>
      <c r="H510" s="8"/>
      <c r="I510" s="9"/>
      <c r="J510" s="9"/>
      <c r="K510" s="1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7"/>
      <c r="B511" s="8"/>
      <c r="C511" s="8"/>
      <c r="D511" s="8"/>
      <c r="E511" s="8"/>
      <c r="F511" s="8"/>
      <c r="G511" s="8"/>
      <c r="H511" s="8"/>
      <c r="I511" s="9"/>
      <c r="J511" s="9"/>
      <c r="K511" s="1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7"/>
      <c r="B512" s="8"/>
      <c r="C512" s="8"/>
      <c r="D512" s="8"/>
      <c r="E512" s="8"/>
      <c r="F512" s="8"/>
      <c r="G512" s="8"/>
      <c r="H512" s="8"/>
      <c r="I512" s="9"/>
      <c r="J512" s="9"/>
      <c r="K512" s="1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7"/>
      <c r="B513" s="8"/>
      <c r="C513" s="8"/>
      <c r="D513" s="8"/>
      <c r="E513" s="8"/>
      <c r="F513" s="8"/>
      <c r="G513" s="8"/>
      <c r="H513" s="8"/>
      <c r="I513" s="9"/>
      <c r="J513" s="9"/>
      <c r="K513" s="10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7"/>
      <c r="B514" s="8"/>
      <c r="C514" s="8"/>
      <c r="D514" s="8"/>
      <c r="E514" s="8"/>
      <c r="F514" s="8"/>
      <c r="G514" s="8"/>
      <c r="H514" s="8"/>
      <c r="I514" s="9"/>
      <c r="J514" s="9"/>
      <c r="K514" s="10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7"/>
      <c r="B515" s="8"/>
      <c r="C515" s="8"/>
      <c r="D515" s="8"/>
      <c r="E515" s="8"/>
      <c r="F515" s="8"/>
      <c r="G515" s="8"/>
      <c r="H515" s="8"/>
      <c r="I515" s="9"/>
      <c r="J515" s="9"/>
      <c r="K515" s="10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7"/>
      <c r="B516" s="8"/>
      <c r="C516" s="8"/>
      <c r="D516" s="8"/>
      <c r="E516" s="8"/>
      <c r="F516" s="8"/>
      <c r="G516" s="8"/>
      <c r="H516" s="8"/>
      <c r="I516" s="9"/>
      <c r="J516" s="9"/>
      <c r="K516" s="10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7"/>
      <c r="B517" s="8"/>
      <c r="C517" s="8"/>
      <c r="D517" s="8"/>
      <c r="E517" s="8"/>
      <c r="F517" s="8"/>
      <c r="G517" s="8"/>
      <c r="H517" s="8"/>
      <c r="I517" s="9"/>
      <c r="J517" s="9"/>
      <c r="K517" s="10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7"/>
      <c r="B518" s="8"/>
      <c r="C518" s="8"/>
      <c r="D518" s="8"/>
      <c r="E518" s="8"/>
      <c r="F518" s="8"/>
      <c r="G518" s="8"/>
      <c r="H518" s="8"/>
      <c r="I518" s="9"/>
      <c r="J518" s="9"/>
      <c r="K518" s="10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7"/>
      <c r="B519" s="8"/>
      <c r="C519" s="8"/>
      <c r="D519" s="8"/>
      <c r="E519" s="8"/>
      <c r="F519" s="8"/>
      <c r="G519" s="8"/>
      <c r="H519" s="8"/>
      <c r="I519" s="9"/>
      <c r="J519" s="9"/>
      <c r="K519" s="10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7"/>
      <c r="B520" s="8"/>
      <c r="C520" s="8"/>
      <c r="D520" s="8"/>
      <c r="E520" s="8"/>
      <c r="F520" s="8"/>
      <c r="G520" s="8"/>
      <c r="H520" s="8"/>
      <c r="I520" s="9"/>
      <c r="J520" s="9"/>
      <c r="K520" s="10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7"/>
      <c r="B521" s="8"/>
      <c r="C521" s="8"/>
      <c r="D521" s="8"/>
      <c r="E521" s="8"/>
      <c r="F521" s="8"/>
      <c r="G521" s="8"/>
      <c r="H521" s="8"/>
      <c r="I521" s="9"/>
      <c r="J521" s="9"/>
      <c r="K521" s="10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7"/>
      <c r="B522" s="8"/>
      <c r="C522" s="8"/>
      <c r="D522" s="8"/>
      <c r="E522" s="8"/>
      <c r="F522" s="8"/>
      <c r="G522" s="8"/>
      <c r="H522" s="8"/>
      <c r="I522" s="9"/>
      <c r="J522" s="9"/>
      <c r="K522" s="10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7"/>
      <c r="B523" s="8"/>
      <c r="C523" s="8"/>
      <c r="D523" s="8"/>
      <c r="E523" s="8"/>
      <c r="F523" s="8"/>
      <c r="G523" s="8"/>
      <c r="H523" s="8"/>
      <c r="I523" s="9"/>
      <c r="J523" s="9"/>
      <c r="K523" s="10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7"/>
      <c r="B524" s="8"/>
      <c r="C524" s="8"/>
      <c r="D524" s="8"/>
      <c r="E524" s="8"/>
      <c r="F524" s="8"/>
      <c r="G524" s="8"/>
      <c r="H524" s="8"/>
      <c r="I524" s="9"/>
      <c r="J524" s="9"/>
      <c r="K524" s="10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7"/>
      <c r="B525" s="8"/>
      <c r="C525" s="8"/>
      <c r="D525" s="8"/>
      <c r="E525" s="8"/>
      <c r="F525" s="8"/>
      <c r="G525" s="8"/>
      <c r="H525" s="8"/>
      <c r="I525" s="9"/>
      <c r="J525" s="9"/>
      <c r="K525" s="10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7"/>
      <c r="B526" s="8"/>
      <c r="C526" s="8"/>
      <c r="D526" s="8"/>
      <c r="E526" s="8"/>
      <c r="F526" s="8"/>
      <c r="G526" s="8"/>
      <c r="H526" s="8"/>
      <c r="I526" s="9"/>
      <c r="J526" s="9"/>
      <c r="K526" s="10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7"/>
      <c r="B527" s="8"/>
      <c r="C527" s="8"/>
      <c r="D527" s="8"/>
      <c r="E527" s="8"/>
      <c r="F527" s="8"/>
      <c r="G527" s="8"/>
      <c r="H527" s="8"/>
      <c r="I527" s="9"/>
      <c r="J527" s="9"/>
      <c r="K527" s="10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7"/>
      <c r="B528" s="8"/>
      <c r="C528" s="8"/>
      <c r="D528" s="8"/>
      <c r="E528" s="8"/>
      <c r="F528" s="8"/>
      <c r="G528" s="8"/>
      <c r="H528" s="8"/>
      <c r="I528" s="9"/>
      <c r="J528" s="9"/>
      <c r="K528" s="10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7"/>
      <c r="B529" s="8"/>
      <c r="C529" s="8"/>
      <c r="D529" s="8"/>
      <c r="E529" s="8"/>
      <c r="F529" s="8"/>
      <c r="G529" s="8"/>
      <c r="H529" s="8"/>
      <c r="I529" s="9"/>
      <c r="J529" s="9"/>
      <c r="K529" s="10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7"/>
      <c r="B530" s="8"/>
      <c r="C530" s="8"/>
      <c r="D530" s="8"/>
      <c r="E530" s="8"/>
      <c r="F530" s="8"/>
      <c r="G530" s="8"/>
      <c r="H530" s="8"/>
      <c r="I530" s="9"/>
      <c r="J530" s="9"/>
      <c r="K530" s="10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7"/>
      <c r="B531" s="8"/>
      <c r="C531" s="8"/>
      <c r="D531" s="8"/>
      <c r="E531" s="8"/>
      <c r="F531" s="8"/>
      <c r="G531" s="8"/>
      <c r="H531" s="8"/>
      <c r="I531" s="9"/>
      <c r="J531" s="9"/>
      <c r="K531" s="10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7"/>
      <c r="B532" s="8"/>
      <c r="C532" s="8"/>
      <c r="D532" s="8"/>
      <c r="E532" s="8"/>
      <c r="F532" s="8"/>
      <c r="G532" s="8"/>
      <c r="H532" s="8"/>
      <c r="I532" s="9"/>
      <c r="J532" s="9"/>
      <c r="K532" s="10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7"/>
      <c r="B533" s="8"/>
      <c r="C533" s="8"/>
      <c r="D533" s="8"/>
      <c r="E533" s="8"/>
      <c r="F533" s="8"/>
      <c r="G533" s="8"/>
      <c r="H533" s="8"/>
      <c r="I533" s="9"/>
      <c r="J533" s="9"/>
      <c r="K533" s="10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7"/>
      <c r="B534" s="8"/>
      <c r="C534" s="8"/>
      <c r="D534" s="8"/>
      <c r="E534" s="8"/>
      <c r="F534" s="8"/>
      <c r="G534" s="8"/>
      <c r="H534" s="8"/>
      <c r="I534" s="9"/>
      <c r="J534" s="9"/>
      <c r="K534" s="10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7"/>
      <c r="B535" s="8"/>
      <c r="C535" s="8"/>
      <c r="D535" s="8"/>
      <c r="E535" s="8"/>
      <c r="F535" s="8"/>
      <c r="G535" s="8"/>
      <c r="H535" s="8"/>
      <c r="I535" s="9"/>
      <c r="J535" s="9"/>
      <c r="K535" s="1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7"/>
      <c r="B536" s="8"/>
      <c r="C536" s="8"/>
      <c r="D536" s="8"/>
      <c r="E536" s="8"/>
      <c r="F536" s="8"/>
      <c r="G536" s="8"/>
      <c r="H536" s="8"/>
      <c r="I536" s="9"/>
      <c r="J536" s="9"/>
      <c r="K536" s="1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7"/>
      <c r="B537" s="8"/>
      <c r="C537" s="8"/>
      <c r="D537" s="8"/>
      <c r="E537" s="8"/>
      <c r="F537" s="8"/>
      <c r="G537" s="8"/>
      <c r="H537" s="8"/>
      <c r="I537" s="9"/>
      <c r="J537" s="9"/>
      <c r="K537" s="1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7"/>
      <c r="B538" s="8"/>
      <c r="C538" s="8"/>
      <c r="D538" s="8"/>
      <c r="E538" s="8"/>
      <c r="F538" s="8"/>
      <c r="G538" s="8"/>
      <c r="H538" s="8"/>
      <c r="I538" s="9"/>
      <c r="J538" s="9"/>
      <c r="K538" s="1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7"/>
      <c r="B539" s="8"/>
      <c r="C539" s="8"/>
      <c r="D539" s="8"/>
      <c r="E539" s="8"/>
      <c r="F539" s="8"/>
      <c r="G539" s="8"/>
      <c r="H539" s="8"/>
      <c r="I539" s="9"/>
      <c r="J539" s="9"/>
      <c r="K539" s="1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7"/>
      <c r="B540" s="8"/>
      <c r="C540" s="8"/>
      <c r="D540" s="8"/>
      <c r="E540" s="8"/>
      <c r="F540" s="8"/>
      <c r="G540" s="8"/>
      <c r="H540" s="8"/>
      <c r="I540" s="9"/>
      <c r="J540" s="9"/>
      <c r="K540" s="1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7"/>
      <c r="B541" s="8"/>
      <c r="C541" s="8"/>
      <c r="D541" s="8"/>
      <c r="E541" s="8"/>
      <c r="F541" s="8"/>
      <c r="G541" s="8"/>
      <c r="H541" s="8"/>
      <c r="I541" s="9"/>
      <c r="J541" s="9"/>
      <c r="K541" s="1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7"/>
      <c r="B542" s="8"/>
      <c r="C542" s="8"/>
      <c r="D542" s="8"/>
      <c r="E542" s="8"/>
      <c r="F542" s="8"/>
      <c r="G542" s="8"/>
      <c r="H542" s="8"/>
      <c r="I542" s="9"/>
      <c r="J542" s="9"/>
      <c r="K542" s="1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7"/>
      <c r="B543" s="8"/>
      <c r="C543" s="8"/>
      <c r="D543" s="8"/>
      <c r="E543" s="8"/>
      <c r="F543" s="8"/>
      <c r="G543" s="8"/>
      <c r="H543" s="8"/>
      <c r="I543" s="9"/>
      <c r="J543" s="9"/>
      <c r="K543" s="1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7"/>
      <c r="B544" s="8"/>
      <c r="C544" s="8"/>
      <c r="D544" s="8"/>
      <c r="E544" s="8"/>
      <c r="F544" s="8"/>
      <c r="G544" s="8"/>
      <c r="H544" s="8"/>
      <c r="I544" s="9"/>
      <c r="J544" s="9"/>
      <c r="K544" s="1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7"/>
      <c r="B545" s="8"/>
      <c r="C545" s="8"/>
      <c r="D545" s="8"/>
      <c r="E545" s="8"/>
      <c r="F545" s="8"/>
      <c r="G545" s="8"/>
      <c r="H545" s="8"/>
      <c r="I545" s="9"/>
      <c r="J545" s="9"/>
      <c r="K545" s="1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7"/>
      <c r="B546" s="8"/>
      <c r="C546" s="8"/>
      <c r="D546" s="8"/>
      <c r="E546" s="8"/>
      <c r="F546" s="8"/>
      <c r="G546" s="8"/>
      <c r="H546" s="8"/>
      <c r="I546" s="9"/>
      <c r="J546" s="9"/>
      <c r="K546" s="1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7"/>
      <c r="B547" s="8"/>
      <c r="C547" s="8"/>
      <c r="D547" s="8"/>
      <c r="E547" s="8"/>
      <c r="F547" s="8"/>
      <c r="G547" s="8"/>
      <c r="H547" s="8"/>
      <c r="I547" s="9"/>
      <c r="J547" s="9"/>
      <c r="K547" s="1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7"/>
      <c r="B548" s="8"/>
      <c r="C548" s="8"/>
      <c r="D548" s="8"/>
      <c r="E548" s="8"/>
      <c r="F548" s="8"/>
      <c r="G548" s="8"/>
      <c r="H548" s="8"/>
      <c r="I548" s="9"/>
      <c r="J548" s="9"/>
      <c r="K548" s="1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7"/>
      <c r="B549" s="8"/>
      <c r="C549" s="8"/>
      <c r="D549" s="8"/>
      <c r="E549" s="8"/>
      <c r="F549" s="8"/>
      <c r="G549" s="8"/>
      <c r="H549" s="8"/>
      <c r="I549" s="9"/>
      <c r="J549" s="9"/>
      <c r="K549" s="1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7"/>
      <c r="B550" s="8"/>
      <c r="C550" s="8"/>
      <c r="D550" s="8"/>
      <c r="E550" s="8"/>
      <c r="F550" s="8"/>
      <c r="G550" s="8"/>
      <c r="H550" s="8"/>
      <c r="I550" s="9"/>
      <c r="J550" s="9"/>
      <c r="K550" s="1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7"/>
      <c r="B551" s="8"/>
      <c r="C551" s="8"/>
      <c r="D551" s="8"/>
      <c r="E551" s="8"/>
      <c r="F551" s="8"/>
      <c r="G551" s="8"/>
      <c r="H551" s="8"/>
      <c r="I551" s="9"/>
      <c r="J551" s="9"/>
      <c r="K551" s="10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7"/>
      <c r="B552" s="8"/>
      <c r="C552" s="8"/>
      <c r="D552" s="8"/>
      <c r="E552" s="8"/>
      <c r="F552" s="8"/>
      <c r="G552" s="8"/>
      <c r="H552" s="8"/>
      <c r="I552" s="9"/>
      <c r="J552" s="9"/>
      <c r="K552" s="10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7"/>
      <c r="B553" s="8"/>
      <c r="C553" s="8"/>
      <c r="D553" s="8"/>
      <c r="E553" s="8"/>
      <c r="F553" s="8"/>
      <c r="G553" s="8"/>
      <c r="H553" s="8"/>
      <c r="I553" s="9"/>
      <c r="J553" s="9"/>
      <c r="K553" s="10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7"/>
      <c r="B554" s="8"/>
      <c r="C554" s="8"/>
      <c r="D554" s="8"/>
      <c r="E554" s="8"/>
      <c r="F554" s="8"/>
      <c r="G554" s="8"/>
      <c r="H554" s="8"/>
      <c r="I554" s="9"/>
      <c r="J554" s="9"/>
      <c r="K554" s="10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7"/>
      <c r="B555" s="8"/>
      <c r="C555" s="8"/>
      <c r="D555" s="8"/>
      <c r="E555" s="8"/>
      <c r="F555" s="8"/>
      <c r="G555" s="8"/>
      <c r="H555" s="8"/>
      <c r="I555" s="9"/>
      <c r="J555" s="9"/>
      <c r="K555" s="10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7"/>
      <c r="B556" s="8"/>
      <c r="C556" s="8"/>
      <c r="D556" s="8"/>
      <c r="E556" s="8"/>
      <c r="F556" s="8"/>
      <c r="G556" s="8"/>
      <c r="H556" s="8"/>
      <c r="I556" s="9"/>
      <c r="J556" s="9"/>
      <c r="K556" s="10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7"/>
      <c r="B557" s="8"/>
      <c r="C557" s="8"/>
      <c r="D557" s="8"/>
      <c r="E557" s="8"/>
      <c r="F557" s="8"/>
      <c r="G557" s="8"/>
      <c r="H557" s="8"/>
      <c r="I557" s="9"/>
      <c r="J557" s="9"/>
      <c r="K557" s="10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7"/>
      <c r="B558" s="8"/>
      <c r="C558" s="8"/>
      <c r="D558" s="8"/>
      <c r="E558" s="8"/>
      <c r="F558" s="8"/>
      <c r="G558" s="8"/>
      <c r="H558" s="8"/>
      <c r="I558" s="9"/>
      <c r="J558" s="9"/>
      <c r="K558" s="10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7"/>
      <c r="B559" s="8"/>
      <c r="C559" s="8"/>
      <c r="D559" s="8"/>
      <c r="E559" s="8"/>
      <c r="F559" s="8"/>
      <c r="G559" s="8"/>
      <c r="H559" s="8"/>
      <c r="I559" s="9"/>
      <c r="J559" s="9"/>
      <c r="K559" s="10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7"/>
      <c r="B560" s="8"/>
      <c r="C560" s="8"/>
      <c r="D560" s="8"/>
      <c r="E560" s="8"/>
      <c r="F560" s="8"/>
      <c r="G560" s="8"/>
      <c r="H560" s="8"/>
      <c r="I560" s="9"/>
      <c r="J560" s="9"/>
      <c r="K560" s="10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7"/>
      <c r="B561" s="8"/>
      <c r="C561" s="8"/>
      <c r="D561" s="8"/>
      <c r="E561" s="8"/>
      <c r="F561" s="8"/>
      <c r="G561" s="8"/>
      <c r="H561" s="8"/>
      <c r="I561" s="9"/>
      <c r="J561" s="9"/>
      <c r="K561" s="10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7"/>
      <c r="B562" s="8"/>
      <c r="C562" s="8"/>
      <c r="D562" s="8"/>
      <c r="E562" s="8"/>
      <c r="F562" s="8"/>
      <c r="G562" s="8"/>
      <c r="H562" s="8"/>
      <c r="I562" s="9"/>
      <c r="J562" s="9"/>
      <c r="K562" s="10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7"/>
      <c r="B563" s="8"/>
      <c r="C563" s="8"/>
      <c r="D563" s="8"/>
      <c r="E563" s="8"/>
      <c r="F563" s="8"/>
      <c r="G563" s="8"/>
      <c r="H563" s="8"/>
      <c r="I563" s="9"/>
      <c r="J563" s="9"/>
      <c r="K563" s="10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7"/>
      <c r="B564" s="8"/>
      <c r="C564" s="8"/>
      <c r="D564" s="8"/>
      <c r="E564" s="8"/>
      <c r="F564" s="8"/>
      <c r="G564" s="8"/>
      <c r="H564" s="8"/>
      <c r="I564" s="9"/>
      <c r="J564" s="9"/>
      <c r="K564" s="10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7"/>
      <c r="B565" s="8"/>
      <c r="C565" s="8"/>
      <c r="D565" s="8"/>
      <c r="E565" s="8"/>
      <c r="F565" s="8"/>
      <c r="G565" s="8"/>
      <c r="H565" s="8"/>
      <c r="I565" s="9"/>
      <c r="J565" s="9"/>
      <c r="K565" s="10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7"/>
      <c r="B566" s="8"/>
      <c r="C566" s="8"/>
      <c r="D566" s="8"/>
      <c r="E566" s="8"/>
      <c r="F566" s="8"/>
      <c r="G566" s="8"/>
      <c r="H566" s="8"/>
      <c r="I566" s="9"/>
      <c r="J566" s="9"/>
      <c r="K566" s="10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7"/>
      <c r="B567" s="8"/>
      <c r="C567" s="8"/>
      <c r="D567" s="8"/>
      <c r="E567" s="8"/>
      <c r="F567" s="8"/>
      <c r="G567" s="8"/>
      <c r="H567" s="8"/>
      <c r="I567" s="9"/>
      <c r="J567" s="9"/>
      <c r="K567" s="10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7"/>
      <c r="B568" s="8"/>
      <c r="C568" s="8"/>
      <c r="D568" s="8"/>
      <c r="E568" s="8"/>
      <c r="F568" s="8"/>
      <c r="G568" s="8"/>
      <c r="H568" s="8"/>
      <c r="I568" s="9"/>
      <c r="J568" s="9"/>
      <c r="K568" s="10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7"/>
      <c r="B569" s="8"/>
      <c r="C569" s="8"/>
      <c r="D569" s="8"/>
      <c r="E569" s="8"/>
      <c r="F569" s="8"/>
      <c r="G569" s="8"/>
      <c r="H569" s="8"/>
      <c r="I569" s="9"/>
      <c r="J569" s="9"/>
      <c r="K569" s="10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7"/>
      <c r="B570" s="8"/>
      <c r="C570" s="8"/>
      <c r="D570" s="8"/>
      <c r="E570" s="8"/>
      <c r="F570" s="8"/>
      <c r="G570" s="8"/>
      <c r="H570" s="8"/>
      <c r="I570" s="9"/>
      <c r="J570" s="9"/>
      <c r="K570" s="10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7"/>
      <c r="B571" s="8"/>
      <c r="C571" s="8"/>
      <c r="D571" s="8"/>
      <c r="E571" s="8"/>
      <c r="F571" s="8"/>
      <c r="G571" s="8"/>
      <c r="H571" s="8"/>
      <c r="I571" s="9"/>
      <c r="J571" s="9"/>
      <c r="K571" s="10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7"/>
      <c r="B572" s="8"/>
      <c r="C572" s="8"/>
      <c r="D572" s="8"/>
      <c r="E572" s="8"/>
      <c r="F572" s="8"/>
      <c r="G572" s="8"/>
      <c r="H572" s="8"/>
      <c r="I572" s="9"/>
      <c r="J572" s="9"/>
      <c r="K572" s="10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7"/>
      <c r="B573" s="8"/>
      <c r="C573" s="8"/>
      <c r="D573" s="8"/>
      <c r="E573" s="8"/>
      <c r="F573" s="8"/>
      <c r="G573" s="8"/>
      <c r="H573" s="8"/>
      <c r="I573" s="9"/>
      <c r="J573" s="9"/>
      <c r="K573" s="10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7"/>
      <c r="B574" s="8"/>
      <c r="C574" s="8"/>
      <c r="D574" s="8"/>
      <c r="E574" s="8"/>
      <c r="F574" s="8"/>
      <c r="G574" s="8"/>
      <c r="H574" s="8"/>
      <c r="I574" s="9"/>
      <c r="J574" s="9"/>
      <c r="K574" s="10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7"/>
      <c r="B575" s="8"/>
      <c r="C575" s="8"/>
      <c r="D575" s="8"/>
      <c r="E575" s="8"/>
      <c r="F575" s="8"/>
      <c r="G575" s="8"/>
      <c r="H575" s="8"/>
      <c r="I575" s="9"/>
      <c r="J575" s="9"/>
      <c r="K575" s="10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7"/>
      <c r="B576" s="8"/>
      <c r="C576" s="8"/>
      <c r="D576" s="8"/>
      <c r="E576" s="8"/>
      <c r="F576" s="8"/>
      <c r="G576" s="8"/>
      <c r="H576" s="8"/>
      <c r="I576" s="9"/>
      <c r="J576" s="9"/>
      <c r="K576" s="10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7"/>
      <c r="B577" s="8"/>
      <c r="C577" s="8"/>
      <c r="D577" s="8"/>
      <c r="E577" s="8"/>
      <c r="F577" s="8"/>
      <c r="G577" s="8"/>
      <c r="H577" s="8"/>
      <c r="I577" s="9"/>
      <c r="J577" s="9"/>
      <c r="K577" s="10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7"/>
      <c r="B578" s="8"/>
      <c r="C578" s="8"/>
      <c r="D578" s="8"/>
      <c r="E578" s="8"/>
      <c r="F578" s="8"/>
      <c r="G578" s="8"/>
      <c r="H578" s="8"/>
      <c r="I578" s="9"/>
      <c r="J578" s="9"/>
      <c r="K578" s="10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7"/>
      <c r="B579" s="8"/>
      <c r="C579" s="8"/>
      <c r="D579" s="8"/>
      <c r="E579" s="8"/>
      <c r="F579" s="8"/>
      <c r="G579" s="8"/>
      <c r="H579" s="8"/>
      <c r="I579" s="9"/>
      <c r="J579" s="9"/>
      <c r="K579" s="10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7"/>
      <c r="B580" s="8"/>
      <c r="C580" s="8"/>
      <c r="D580" s="8"/>
      <c r="E580" s="8"/>
      <c r="F580" s="8"/>
      <c r="G580" s="8"/>
      <c r="H580" s="8"/>
      <c r="I580" s="9"/>
      <c r="J580" s="9"/>
      <c r="K580" s="10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7"/>
      <c r="B581" s="8"/>
      <c r="C581" s="8"/>
      <c r="D581" s="8"/>
      <c r="E581" s="8"/>
      <c r="F581" s="8"/>
      <c r="G581" s="8"/>
      <c r="H581" s="8"/>
      <c r="I581" s="9"/>
      <c r="J581" s="9"/>
      <c r="K581" s="10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7"/>
      <c r="B582" s="8"/>
      <c r="C582" s="8"/>
      <c r="D582" s="8"/>
      <c r="E582" s="8"/>
      <c r="F582" s="8"/>
      <c r="G582" s="8"/>
      <c r="H582" s="8"/>
      <c r="I582" s="9"/>
      <c r="J582" s="9"/>
      <c r="K582" s="10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7"/>
      <c r="B583" s="8"/>
      <c r="C583" s="8"/>
      <c r="D583" s="8"/>
      <c r="E583" s="8"/>
      <c r="F583" s="8"/>
      <c r="G583" s="8"/>
      <c r="H583" s="8"/>
      <c r="I583" s="9"/>
      <c r="J583" s="9"/>
      <c r="K583" s="10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7"/>
      <c r="B584" s="8"/>
      <c r="C584" s="8"/>
      <c r="D584" s="8"/>
      <c r="E584" s="8"/>
      <c r="F584" s="8"/>
      <c r="G584" s="8"/>
      <c r="H584" s="8"/>
      <c r="I584" s="9"/>
      <c r="J584" s="9"/>
      <c r="K584" s="10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7"/>
      <c r="B585" s="8"/>
      <c r="C585" s="8"/>
      <c r="D585" s="8"/>
      <c r="E585" s="8"/>
      <c r="F585" s="8"/>
      <c r="G585" s="8"/>
      <c r="H585" s="8"/>
      <c r="I585" s="9"/>
      <c r="J585" s="9"/>
      <c r="K585" s="10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11"/>
      <c r="B586" s="12"/>
      <c r="C586" s="12"/>
      <c r="D586" s="12"/>
      <c r="E586" s="12"/>
      <c r="F586" s="12"/>
      <c r="G586" s="12"/>
      <c r="H586" s="12"/>
      <c r="I586" s="14"/>
      <c r="J586" s="14"/>
      <c r="K586" s="10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7"/>
      <c r="B587" s="8"/>
      <c r="C587" s="8"/>
      <c r="D587" s="8"/>
      <c r="E587" s="8"/>
      <c r="F587" s="8"/>
      <c r="G587" s="8"/>
      <c r="H587" s="8"/>
      <c r="I587" s="9"/>
      <c r="J587" s="9"/>
      <c r="K587" s="10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7"/>
      <c r="B588" s="8"/>
      <c r="C588" s="8"/>
      <c r="D588" s="8"/>
      <c r="E588" s="8"/>
      <c r="F588" s="8"/>
      <c r="G588" s="8"/>
      <c r="H588" s="8"/>
      <c r="I588" s="9"/>
      <c r="J588" s="9"/>
      <c r="K588" s="10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7"/>
      <c r="B589" s="8"/>
      <c r="C589" s="8"/>
      <c r="D589" s="8"/>
      <c r="E589" s="8"/>
      <c r="F589" s="8"/>
      <c r="G589" s="8"/>
      <c r="H589" s="8"/>
      <c r="I589" s="9"/>
      <c r="J589" s="9"/>
      <c r="K589" s="10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7"/>
      <c r="B590" s="8"/>
      <c r="C590" s="8"/>
      <c r="D590" s="8"/>
      <c r="E590" s="8"/>
      <c r="F590" s="8"/>
      <c r="G590" s="8"/>
      <c r="H590" s="8"/>
      <c r="I590" s="9"/>
      <c r="J590" s="9"/>
      <c r="K590" s="10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7"/>
      <c r="B591" s="8"/>
      <c r="C591" s="8"/>
      <c r="D591" s="8"/>
      <c r="E591" s="8"/>
      <c r="F591" s="8"/>
      <c r="G591" s="8"/>
      <c r="H591" s="8"/>
      <c r="I591" s="9"/>
      <c r="J591" s="9"/>
      <c r="K591" s="10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7"/>
      <c r="B592" s="8"/>
      <c r="C592" s="8"/>
      <c r="D592" s="8"/>
      <c r="E592" s="8"/>
      <c r="F592" s="8"/>
      <c r="G592" s="8"/>
      <c r="H592" s="8"/>
      <c r="I592" s="9"/>
      <c r="J592" s="9"/>
      <c r="K592" s="10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7"/>
      <c r="B593" s="8"/>
      <c r="C593" s="8"/>
      <c r="D593" s="8"/>
      <c r="E593" s="8"/>
      <c r="F593" s="8"/>
      <c r="G593" s="8"/>
      <c r="H593" s="8"/>
      <c r="I593" s="9"/>
      <c r="J593" s="9"/>
      <c r="K593" s="10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7"/>
      <c r="B594" s="8"/>
      <c r="C594" s="8"/>
      <c r="D594" s="8"/>
      <c r="E594" s="8"/>
      <c r="F594" s="8"/>
      <c r="G594" s="8"/>
      <c r="H594" s="8"/>
      <c r="I594" s="9"/>
      <c r="J594" s="9"/>
      <c r="K594" s="10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7"/>
      <c r="B595" s="8"/>
      <c r="C595" s="8"/>
      <c r="D595" s="8"/>
      <c r="E595" s="8"/>
      <c r="F595" s="8"/>
      <c r="G595" s="8"/>
      <c r="H595" s="8"/>
      <c r="I595" s="9"/>
      <c r="J595" s="9"/>
      <c r="K595" s="10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7"/>
      <c r="B596" s="8"/>
      <c r="C596" s="8"/>
      <c r="D596" s="8"/>
      <c r="E596" s="8"/>
      <c r="F596" s="8"/>
      <c r="G596" s="8"/>
      <c r="H596" s="8"/>
      <c r="I596" s="9"/>
      <c r="J596" s="9"/>
      <c r="K596" s="10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11"/>
      <c r="B597" s="12"/>
      <c r="C597" s="12"/>
      <c r="D597" s="12"/>
      <c r="E597" s="12"/>
      <c r="F597" s="12"/>
      <c r="G597" s="12"/>
      <c r="H597" s="12"/>
      <c r="I597" s="14"/>
      <c r="J597" s="14"/>
      <c r="K597" s="10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7"/>
      <c r="B598" s="8"/>
      <c r="C598" s="8"/>
      <c r="D598" s="8"/>
      <c r="E598" s="8"/>
      <c r="F598" s="8"/>
      <c r="G598" s="8"/>
      <c r="H598" s="8"/>
      <c r="I598" s="9"/>
      <c r="J598" s="9"/>
      <c r="K598" s="10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7"/>
      <c r="B599" s="8"/>
      <c r="C599" s="8"/>
      <c r="D599" s="8"/>
      <c r="E599" s="8"/>
      <c r="F599" s="8"/>
      <c r="G599" s="8"/>
      <c r="H599" s="8"/>
      <c r="I599" s="9"/>
      <c r="J599" s="9"/>
      <c r="K599" s="10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7"/>
      <c r="B600" s="8"/>
      <c r="C600" s="8"/>
      <c r="D600" s="8"/>
      <c r="E600" s="8"/>
      <c r="F600" s="8"/>
      <c r="G600" s="8"/>
      <c r="H600" s="8"/>
      <c r="I600" s="9"/>
      <c r="J600" s="9"/>
      <c r="K600" s="10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7"/>
      <c r="B601" s="8"/>
      <c r="C601" s="8"/>
      <c r="D601" s="8"/>
      <c r="E601" s="8"/>
      <c r="F601" s="8"/>
      <c r="G601" s="8"/>
      <c r="H601" s="8"/>
      <c r="I601" s="9"/>
      <c r="J601" s="9"/>
      <c r="K601" s="10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7"/>
      <c r="B602" s="8"/>
      <c r="C602" s="8"/>
      <c r="D602" s="8"/>
      <c r="E602" s="8"/>
      <c r="F602" s="8"/>
      <c r="G602" s="8"/>
      <c r="H602" s="8"/>
      <c r="I602" s="9"/>
      <c r="J602" s="9"/>
      <c r="K602" s="10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7"/>
      <c r="B603" s="8"/>
      <c r="C603" s="8"/>
      <c r="D603" s="8"/>
      <c r="E603" s="8"/>
      <c r="F603" s="8"/>
      <c r="G603" s="8"/>
      <c r="H603" s="8"/>
      <c r="I603" s="9"/>
      <c r="J603" s="9"/>
      <c r="K603" s="10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7"/>
      <c r="B604" s="8"/>
      <c r="C604" s="8"/>
      <c r="D604" s="8"/>
      <c r="E604" s="8"/>
      <c r="F604" s="8"/>
      <c r="G604" s="8"/>
      <c r="H604" s="8"/>
      <c r="I604" s="9"/>
      <c r="J604" s="9"/>
      <c r="K604" s="10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7"/>
      <c r="B605" s="8"/>
      <c r="C605" s="8"/>
      <c r="D605" s="8"/>
      <c r="E605" s="8"/>
      <c r="F605" s="8"/>
      <c r="G605" s="8"/>
      <c r="H605" s="8"/>
      <c r="I605" s="9"/>
      <c r="J605" s="9"/>
      <c r="K605" s="10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7"/>
      <c r="B606" s="8"/>
      <c r="C606" s="8"/>
      <c r="D606" s="8"/>
      <c r="E606" s="8"/>
      <c r="F606" s="8"/>
      <c r="G606" s="8"/>
      <c r="H606" s="8"/>
      <c r="I606" s="9"/>
      <c r="J606" s="9"/>
      <c r="K606" s="10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7"/>
      <c r="B607" s="8"/>
      <c r="C607" s="8"/>
      <c r="D607" s="8"/>
      <c r="E607" s="8"/>
      <c r="F607" s="8"/>
      <c r="G607" s="8"/>
      <c r="H607" s="8"/>
      <c r="I607" s="9"/>
      <c r="J607" s="9"/>
      <c r="K607" s="10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7"/>
      <c r="B608" s="8"/>
      <c r="C608" s="8"/>
      <c r="D608" s="8"/>
      <c r="E608" s="8"/>
      <c r="F608" s="8"/>
      <c r="G608" s="8"/>
      <c r="H608" s="8"/>
      <c r="I608" s="9"/>
      <c r="J608" s="9"/>
      <c r="K608" s="10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7"/>
      <c r="B609" s="8"/>
      <c r="C609" s="8"/>
      <c r="D609" s="8"/>
      <c r="E609" s="8"/>
      <c r="F609" s="8"/>
      <c r="G609" s="8"/>
      <c r="H609" s="8"/>
      <c r="I609" s="9"/>
      <c r="J609" s="9"/>
      <c r="K609" s="10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7"/>
      <c r="B610" s="8"/>
      <c r="C610" s="8"/>
      <c r="D610" s="8"/>
      <c r="E610" s="8"/>
      <c r="F610" s="8"/>
      <c r="G610" s="8"/>
      <c r="H610" s="8"/>
      <c r="I610" s="9"/>
      <c r="J610" s="9"/>
      <c r="K610" s="10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7"/>
      <c r="B611" s="8"/>
      <c r="C611" s="8"/>
      <c r="D611" s="8"/>
      <c r="E611" s="8"/>
      <c r="F611" s="8"/>
      <c r="G611" s="8"/>
      <c r="H611" s="8"/>
      <c r="I611" s="9"/>
      <c r="J611" s="9"/>
      <c r="K611" s="10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7"/>
      <c r="B612" s="8"/>
      <c r="C612" s="8"/>
      <c r="D612" s="8"/>
      <c r="E612" s="8"/>
      <c r="F612" s="8"/>
      <c r="G612" s="8"/>
      <c r="H612" s="8"/>
      <c r="I612" s="9"/>
      <c r="J612" s="9"/>
      <c r="K612" s="10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7"/>
      <c r="B613" s="8"/>
      <c r="C613" s="8"/>
      <c r="D613" s="8"/>
      <c r="E613" s="8"/>
      <c r="F613" s="8"/>
      <c r="G613" s="8"/>
      <c r="H613" s="8"/>
      <c r="I613" s="9"/>
      <c r="J613" s="9"/>
      <c r="K613" s="10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7"/>
      <c r="B614" s="8"/>
      <c r="C614" s="8"/>
      <c r="D614" s="8"/>
      <c r="E614" s="8"/>
      <c r="F614" s="8"/>
      <c r="G614" s="8"/>
      <c r="H614" s="8"/>
      <c r="I614" s="9"/>
      <c r="J614" s="9"/>
      <c r="K614" s="10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7"/>
      <c r="B615" s="8"/>
      <c r="C615" s="8"/>
      <c r="D615" s="8"/>
      <c r="E615" s="8"/>
      <c r="F615" s="8"/>
      <c r="G615" s="8"/>
      <c r="H615" s="8"/>
      <c r="I615" s="9"/>
      <c r="J615" s="9"/>
      <c r="K615" s="10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7"/>
      <c r="B616" s="8"/>
      <c r="C616" s="8"/>
      <c r="D616" s="8"/>
      <c r="E616" s="8"/>
      <c r="F616" s="8"/>
      <c r="G616" s="8"/>
      <c r="H616" s="8"/>
      <c r="I616" s="9"/>
      <c r="J616" s="9"/>
      <c r="K616" s="10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7"/>
      <c r="B617" s="8"/>
      <c r="C617" s="8"/>
      <c r="D617" s="8"/>
      <c r="E617" s="8"/>
      <c r="F617" s="8"/>
      <c r="G617" s="8"/>
      <c r="H617" s="8"/>
      <c r="I617" s="9"/>
      <c r="J617" s="9"/>
      <c r="K617" s="10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7"/>
      <c r="B618" s="8"/>
      <c r="C618" s="8"/>
      <c r="D618" s="8"/>
      <c r="E618" s="8"/>
      <c r="F618" s="8"/>
      <c r="G618" s="8"/>
      <c r="H618" s="8"/>
      <c r="I618" s="9"/>
      <c r="J618" s="9"/>
      <c r="K618" s="10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7"/>
      <c r="B619" s="8"/>
      <c r="C619" s="8"/>
      <c r="D619" s="8"/>
      <c r="E619" s="8"/>
      <c r="F619" s="8"/>
      <c r="G619" s="8"/>
      <c r="H619" s="8"/>
      <c r="I619" s="9"/>
      <c r="J619" s="9"/>
      <c r="K619" s="10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7"/>
      <c r="B620" s="8"/>
      <c r="C620" s="8"/>
      <c r="D620" s="8"/>
      <c r="E620" s="8"/>
      <c r="F620" s="8"/>
      <c r="G620" s="8"/>
      <c r="H620" s="8"/>
      <c r="I620" s="9"/>
      <c r="J620" s="9"/>
      <c r="K620" s="10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7"/>
      <c r="B621" s="8"/>
      <c r="C621" s="8"/>
      <c r="D621" s="8"/>
      <c r="E621" s="8"/>
      <c r="F621" s="8"/>
      <c r="G621" s="8"/>
      <c r="H621" s="8"/>
      <c r="I621" s="9"/>
      <c r="J621" s="9"/>
      <c r="K621" s="10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7"/>
      <c r="B622" s="8"/>
      <c r="C622" s="8"/>
      <c r="D622" s="8"/>
      <c r="E622" s="8"/>
      <c r="F622" s="8"/>
      <c r="G622" s="8"/>
      <c r="H622" s="8"/>
      <c r="I622" s="9"/>
      <c r="J622" s="9"/>
      <c r="K622" s="10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7"/>
      <c r="B623" s="8"/>
      <c r="C623" s="8"/>
      <c r="D623" s="8"/>
      <c r="E623" s="8"/>
      <c r="F623" s="8"/>
      <c r="G623" s="8"/>
      <c r="H623" s="8"/>
      <c r="I623" s="9"/>
      <c r="J623" s="9"/>
      <c r="K623" s="10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7"/>
      <c r="B624" s="8"/>
      <c r="C624" s="8"/>
      <c r="D624" s="8"/>
      <c r="E624" s="8"/>
      <c r="F624" s="8"/>
      <c r="G624" s="8"/>
      <c r="H624" s="8"/>
      <c r="I624" s="9"/>
      <c r="J624" s="9"/>
      <c r="K624" s="10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7"/>
      <c r="B625" s="8"/>
      <c r="C625" s="8"/>
      <c r="D625" s="8"/>
      <c r="E625" s="8"/>
      <c r="F625" s="8"/>
      <c r="G625" s="8"/>
      <c r="H625" s="8"/>
      <c r="I625" s="9"/>
      <c r="J625" s="9"/>
      <c r="K625" s="10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7"/>
      <c r="B626" s="8"/>
      <c r="C626" s="8"/>
      <c r="D626" s="8"/>
      <c r="E626" s="8"/>
      <c r="F626" s="8"/>
      <c r="G626" s="8"/>
      <c r="H626" s="8"/>
      <c r="I626" s="9"/>
      <c r="J626" s="9"/>
      <c r="K626" s="10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7"/>
      <c r="B627" s="8"/>
      <c r="C627" s="8"/>
      <c r="D627" s="8"/>
      <c r="E627" s="8"/>
      <c r="F627" s="8"/>
      <c r="G627" s="8"/>
      <c r="H627" s="8"/>
      <c r="I627" s="9"/>
      <c r="J627" s="9"/>
      <c r="K627" s="10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7"/>
      <c r="B628" s="8"/>
      <c r="C628" s="8"/>
      <c r="D628" s="8"/>
      <c r="E628" s="8"/>
      <c r="F628" s="8"/>
      <c r="G628" s="8"/>
      <c r="H628" s="8"/>
      <c r="I628" s="9"/>
      <c r="J628" s="9"/>
      <c r="K628" s="10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7"/>
      <c r="B629" s="8"/>
      <c r="C629" s="8"/>
      <c r="D629" s="8"/>
      <c r="E629" s="8"/>
      <c r="F629" s="8"/>
      <c r="G629" s="8"/>
      <c r="H629" s="8"/>
      <c r="I629" s="9"/>
      <c r="J629" s="9"/>
      <c r="K629" s="10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7"/>
      <c r="B630" s="8"/>
      <c r="C630" s="8"/>
      <c r="D630" s="8"/>
      <c r="E630" s="8"/>
      <c r="F630" s="8"/>
      <c r="G630" s="8"/>
      <c r="H630" s="8"/>
      <c r="I630" s="9"/>
      <c r="J630" s="9"/>
      <c r="K630" s="10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7"/>
      <c r="B631" s="8"/>
      <c r="C631" s="8"/>
      <c r="D631" s="8"/>
      <c r="E631" s="8"/>
      <c r="F631" s="8"/>
      <c r="G631" s="8"/>
      <c r="H631" s="8"/>
      <c r="I631" s="9"/>
      <c r="J631" s="9"/>
      <c r="K631" s="10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7"/>
      <c r="B632" s="8"/>
      <c r="C632" s="8"/>
      <c r="D632" s="8"/>
      <c r="E632" s="8"/>
      <c r="F632" s="8"/>
      <c r="G632" s="8"/>
      <c r="H632" s="8"/>
      <c r="I632" s="9"/>
      <c r="J632" s="9"/>
      <c r="K632" s="10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7"/>
      <c r="B633" s="8"/>
      <c r="C633" s="8"/>
      <c r="D633" s="8"/>
      <c r="E633" s="8"/>
      <c r="F633" s="8"/>
      <c r="G633" s="8"/>
      <c r="H633" s="8"/>
      <c r="I633" s="9"/>
      <c r="J633" s="9"/>
      <c r="K633" s="10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7"/>
      <c r="B634" s="8"/>
      <c r="C634" s="8"/>
      <c r="D634" s="8"/>
      <c r="E634" s="8"/>
      <c r="F634" s="8"/>
      <c r="G634" s="8"/>
      <c r="H634" s="8"/>
      <c r="I634" s="9"/>
      <c r="J634" s="9"/>
      <c r="K634" s="10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7"/>
      <c r="B635" s="8"/>
      <c r="C635" s="8"/>
      <c r="D635" s="8"/>
      <c r="E635" s="8"/>
      <c r="F635" s="8"/>
      <c r="G635" s="8"/>
      <c r="H635" s="8"/>
      <c r="I635" s="9"/>
      <c r="J635" s="9"/>
      <c r="K635" s="10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7"/>
      <c r="B636" s="8"/>
      <c r="C636" s="8"/>
      <c r="D636" s="8"/>
      <c r="E636" s="8"/>
      <c r="F636" s="8"/>
      <c r="G636" s="8"/>
      <c r="H636" s="8"/>
      <c r="I636" s="9"/>
      <c r="J636" s="9"/>
      <c r="K636" s="10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7"/>
      <c r="B637" s="8"/>
      <c r="C637" s="8"/>
      <c r="D637" s="8"/>
      <c r="E637" s="8"/>
      <c r="F637" s="8"/>
      <c r="G637" s="8"/>
      <c r="H637" s="8"/>
      <c r="I637" s="9"/>
      <c r="J637" s="9"/>
      <c r="K637" s="10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7"/>
      <c r="B638" s="8"/>
      <c r="C638" s="8"/>
      <c r="D638" s="8"/>
      <c r="E638" s="8"/>
      <c r="F638" s="8"/>
      <c r="G638" s="8"/>
      <c r="H638" s="8"/>
      <c r="I638" s="9"/>
      <c r="J638" s="9"/>
      <c r="K638" s="10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7"/>
      <c r="B639" s="8"/>
      <c r="C639" s="8"/>
      <c r="D639" s="8"/>
      <c r="E639" s="8"/>
      <c r="F639" s="8"/>
      <c r="G639" s="8"/>
      <c r="H639" s="8"/>
      <c r="I639" s="9"/>
      <c r="J639" s="9"/>
      <c r="K639" s="10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7"/>
      <c r="B640" s="8"/>
      <c r="C640" s="8"/>
      <c r="D640" s="8"/>
      <c r="E640" s="8"/>
      <c r="F640" s="8"/>
      <c r="G640" s="8"/>
      <c r="H640" s="8"/>
      <c r="I640" s="9"/>
      <c r="J640" s="9"/>
      <c r="K640" s="10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7"/>
      <c r="B641" s="8"/>
      <c r="C641" s="8"/>
      <c r="D641" s="8"/>
      <c r="E641" s="8"/>
      <c r="F641" s="8"/>
      <c r="G641" s="8"/>
      <c r="H641" s="8"/>
      <c r="I641" s="9"/>
      <c r="J641" s="9"/>
      <c r="K641" s="10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11"/>
      <c r="B642" s="12"/>
      <c r="C642" s="12"/>
      <c r="D642" s="12"/>
      <c r="E642" s="12"/>
      <c r="F642" s="12"/>
      <c r="G642" s="12"/>
      <c r="H642" s="12"/>
      <c r="I642" s="14"/>
      <c r="J642" s="14"/>
      <c r="K642" s="10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7"/>
      <c r="B643" s="8"/>
      <c r="C643" s="8"/>
      <c r="D643" s="8"/>
      <c r="E643" s="8"/>
      <c r="F643" s="8"/>
      <c r="G643" s="8"/>
      <c r="H643" s="8"/>
      <c r="I643" s="9"/>
      <c r="J643" s="9"/>
      <c r="K643" s="10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7"/>
      <c r="B644" s="8"/>
      <c r="C644" s="8"/>
      <c r="D644" s="8"/>
      <c r="E644" s="8"/>
      <c r="F644" s="8"/>
      <c r="G644" s="8"/>
      <c r="H644" s="8"/>
      <c r="I644" s="9"/>
      <c r="J644" s="9"/>
      <c r="K644" s="10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7"/>
      <c r="B645" s="8"/>
      <c r="C645" s="8"/>
      <c r="D645" s="8"/>
      <c r="E645" s="8"/>
      <c r="F645" s="8"/>
      <c r="G645" s="8"/>
      <c r="H645" s="8"/>
      <c r="I645" s="9"/>
      <c r="J645" s="9"/>
      <c r="K645" s="10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7"/>
      <c r="B646" s="8"/>
      <c r="C646" s="8"/>
      <c r="D646" s="8"/>
      <c r="E646" s="8"/>
      <c r="F646" s="8"/>
      <c r="G646" s="8"/>
      <c r="H646" s="8"/>
      <c r="I646" s="9"/>
      <c r="J646" s="9"/>
      <c r="K646" s="10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7"/>
      <c r="B647" s="8"/>
      <c r="C647" s="8"/>
      <c r="D647" s="8"/>
      <c r="E647" s="8"/>
      <c r="F647" s="8"/>
      <c r="G647" s="8"/>
      <c r="H647" s="8"/>
      <c r="I647" s="9"/>
      <c r="J647" s="9"/>
      <c r="K647" s="10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7"/>
      <c r="B648" s="8"/>
      <c r="C648" s="8"/>
      <c r="D648" s="8"/>
      <c r="E648" s="8"/>
      <c r="F648" s="8"/>
      <c r="G648" s="8"/>
      <c r="H648" s="8"/>
      <c r="I648" s="9"/>
      <c r="J648" s="9"/>
      <c r="K648" s="10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7"/>
      <c r="B649" s="8"/>
      <c r="C649" s="8"/>
      <c r="D649" s="8"/>
      <c r="E649" s="8"/>
      <c r="F649" s="8"/>
      <c r="G649" s="8"/>
      <c r="H649" s="8"/>
      <c r="I649" s="9"/>
      <c r="J649" s="9"/>
      <c r="K649" s="10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7"/>
      <c r="B650" s="8"/>
      <c r="C650" s="8"/>
      <c r="D650" s="8"/>
      <c r="E650" s="8"/>
      <c r="F650" s="8"/>
      <c r="G650" s="8"/>
      <c r="H650" s="8"/>
      <c r="I650" s="9"/>
      <c r="J650" s="9"/>
      <c r="K650" s="10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7"/>
      <c r="B651" s="8"/>
      <c r="C651" s="8"/>
      <c r="D651" s="8"/>
      <c r="E651" s="8"/>
      <c r="F651" s="8"/>
      <c r="G651" s="8"/>
      <c r="H651" s="8"/>
      <c r="I651" s="9"/>
      <c r="J651" s="9"/>
      <c r="K651" s="10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7"/>
      <c r="B652" s="8"/>
      <c r="C652" s="8"/>
      <c r="D652" s="8"/>
      <c r="E652" s="8"/>
      <c r="F652" s="8"/>
      <c r="G652" s="8"/>
      <c r="H652" s="8"/>
      <c r="I652" s="9"/>
      <c r="J652" s="9"/>
      <c r="K652" s="10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7"/>
      <c r="B653" s="8"/>
      <c r="C653" s="8"/>
      <c r="D653" s="8"/>
      <c r="E653" s="8"/>
      <c r="F653" s="8"/>
      <c r="G653" s="8"/>
      <c r="H653" s="8"/>
      <c r="I653" s="9"/>
      <c r="J653" s="9"/>
      <c r="K653" s="10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7"/>
      <c r="B654" s="8"/>
      <c r="C654" s="8"/>
      <c r="D654" s="8"/>
      <c r="E654" s="8"/>
      <c r="F654" s="8"/>
      <c r="G654" s="8"/>
      <c r="H654" s="8"/>
      <c r="I654" s="9"/>
      <c r="J654" s="9"/>
      <c r="K654" s="10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7"/>
      <c r="B655" s="8"/>
      <c r="C655" s="8"/>
      <c r="D655" s="8"/>
      <c r="E655" s="8"/>
      <c r="F655" s="8"/>
      <c r="G655" s="8"/>
      <c r="H655" s="8"/>
      <c r="I655" s="9"/>
      <c r="J655" s="9"/>
      <c r="K655" s="10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7"/>
      <c r="B656" s="8"/>
      <c r="C656" s="8"/>
      <c r="D656" s="8"/>
      <c r="E656" s="8"/>
      <c r="F656" s="8"/>
      <c r="G656" s="8"/>
      <c r="H656" s="8"/>
      <c r="I656" s="9"/>
      <c r="J656" s="9"/>
      <c r="K656" s="10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7"/>
      <c r="B657" s="8"/>
      <c r="C657" s="8"/>
      <c r="D657" s="8"/>
      <c r="E657" s="8"/>
      <c r="F657" s="8"/>
      <c r="G657" s="8"/>
      <c r="H657" s="8"/>
      <c r="I657" s="9"/>
      <c r="J657" s="9"/>
      <c r="K657" s="10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7"/>
      <c r="B658" s="8"/>
      <c r="C658" s="8"/>
      <c r="D658" s="8"/>
      <c r="E658" s="8"/>
      <c r="F658" s="8"/>
      <c r="G658" s="8"/>
      <c r="H658" s="8"/>
      <c r="I658" s="9"/>
      <c r="J658" s="9"/>
      <c r="K658" s="10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7"/>
      <c r="B659" s="8"/>
      <c r="C659" s="8"/>
      <c r="D659" s="8"/>
      <c r="E659" s="8"/>
      <c r="F659" s="8"/>
      <c r="G659" s="8"/>
      <c r="H659" s="8"/>
      <c r="I659" s="9"/>
      <c r="J659" s="9"/>
      <c r="K659" s="10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7"/>
      <c r="B660" s="8"/>
      <c r="C660" s="8"/>
      <c r="D660" s="8"/>
      <c r="E660" s="8"/>
      <c r="F660" s="8"/>
      <c r="G660" s="8"/>
      <c r="H660" s="8"/>
      <c r="I660" s="9"/>
      <c r="J660" s="9"/>
      <c r="K660" s="10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7"/>
      <c r="B661" s="8"/>
      <c r="C661" s="8"/>
      <c r="D661" s="8"/>
      <c r="E661" s="8"/>
      <c r="F661" s="8"/>
      <c r="G661" s="8"/>
      <c r="H661" s="8"/>
      <c r="I661" s="9"/>
      <c r="J661" s="9"/>
      <c r="K661" s="10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7"/>
      <c r="B662" s="8"/>
      <c r="C662" s="8"/>
      <c r="D662" s="8"/>
      <c r="E662" s="8"/>
      <c r="F662" s="8"/>
      <c r="G662" s="8"/>
      <c r="H662" s="8"/>
      <c r="I662" s="9"/>
      <c r="J662" s="9"/>
      <c r="K662" s="10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7"/>
      <c r="B663" s="8"/>
      <c r="C663" s="8"/>
      <c r="D663" s="8"/>
      <c r="E663" s="8"/>
      <c r="F663" s="8"/>
      <c r="G663" s="8"/>
      <c r="H663" s="8"/>
      <c r="I663" s="9"/>
      <c r="J663" s="9"/>
      <c r="K663" s="10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7"/>
      <c r="B664" s="8"/>
      <c r="C664" s="8"/>
      <c r="D664" s="8"/>
      <c r="E664" s="8"/>
      <c r="F664" s="8"/>
      <c r="G664" s="8"/>
      <c r="H664" s="8"/>
      <c r="I664" s="9"/>
      <c r="J664" s="9"/>
      <c r="K664" s="10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7"/>
      <c r="B665" s="8"/>
      <c r="C665" s="8"/>
      <c r="D665" s="8"/>
      <c r="E665" s="8"/>
      <c r="F665" s="8"/>
      <c r="G665" s="8"/>
      <c r="H665" s="8"/>
      <c r="I665" s="9"/>
      <c r="J665" s="9"/>
      <c r="K665" s="10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11"/>
      <c r="B666" s="12"/>
      <c r="C666" s="12"/>
      <c r="D666" s="12"/>
      <c r="E666" s="12"/>
      <c r="F666" s="12"/>
      <c r="G666" s="12"/>
      <c r="H666" s="12"/>
      <c r="I666" s="14"/>
      <c r="J666" s="14"/>
      <c r="K666" s="10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7"/>
      <c r="B667" s="8"/>
      <c r="C667" s="8"/>
      <c r="D667" s="8"/>
      <c r="E667" s="8"/>
      <c r="F667" s="8"/>
      <c r="G667" s="8"/>
      <c r="H667" s="8"/>
      <c r="I667" s="9"/>
      <c r="J667" s="9"/>
      <c r="K667" s="10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7"/>
      <c r="B668" s="8"/>
      <c r="C668" s="8"/>
      <c r="D668" s="8"/>
      <c r="E668" s="8"/>
      <c r="F668" s="8"/>
      <c r="G668" s="8"/>
      <c r="H668" s="8"/>
      <c r="I668" s="9"/>
      <c r="J668" s="9"/>
      <c r="K668" s="10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7"/>
      <c r="B669" s="8"/>
      <c r="C669" s="8"/>
      <c r="D669" s="8"/>
      <c r="E669" s="8"/>
      <c r="F669" s="8"/>
      <c r="G669" s="8"/>
      <c r="H669" s="8"/>
      <c r="I669" s="9"/>
      <c r="J669" s="9"/>
      <c r="K669" s="10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7"/>
      <c r="B670" s="8"/>
      <c r="C670" s="8"/>
      <c r="D670" s="8"/>
      <c r="E670" s="8"/>
      <c r="F670" s="8"/>
      <c r="G670" s="8"/>
      <c r="H670" s="8"/>
      <c r="I670" s="9"/>
      <c r="J670" s="9"/>
      <c r="K670" s="10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7"/>
      <c r="B671" s="8"/>
      <c r="C671" s="8"/>
      <c r="D671" s="8"/>
      <c r="E671" s="8"/>
      <c r="F671" s="8"/>
      <c r="G671" s="8"/>
      <c r="H671" s="8"/>
      <c r="I671" s="9"/>
      <c r="J671" s="9"/>
      <c r="K671" s="10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7"/>
      <c r="B672" s="8"/>
      <c r="C672" s="8"/>
      <c r="D672" s="8"/>
      <c r="E672" s="8"/>
      <c r="F672" s="8"/>
      <c r="G672" s="8"/>
      <c r="H672" s="8"/>
      <c r="I672" s="9"/>
      <c r="J672" s="9"/>
      <c r="K672" s="10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7"/>
      <c r="B673" s="8"/>
      <c r="C673" s="8"/>
      <c r="D673" s="8"/>
      <c r="E673" s="8"/>
      <c r="F673" s="8"/>
      <c r="G673" s="8"/>
      <c r="H673" s="8"/>
      <c r="I673" s="9"/>
      <c r="J673" s="9"/>
      <c r="K673" s="10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7"/>
      <c r="B674" s="8"/>
      <c r="C674" s="8"/>
      <c r="D674" s="8"/>
      <c r="E674" s="8"/>
      <c r="F674" s="8"/>
      <c r="G674" s="8"/>
      <c r="H674" s="8"/>
      <c r="I674" s="9"/>
      <c r="J674" s="9"/>
      <c r="K674" s="10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7"/>
      <c r="B675" s="8"/>
      <c r="C675" s="8"/>
      <c r="D675" s="8"/>
      <c r="E675" s="8"/>
      <c r="F675" s="8"/>
      <c r="G675" s="8"/>
      <c r="H675" s="8"/>
      <c r="I675" s="9"/>
      <c r="J675" s="9"/>
      <c r="K675" s="10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7"/>
      <c r="B676" s="8"/>
      <c r="C676" s="8"/>
      <c r="D676" s="8"/>
      <c r="E676" s="8"/>
      <c r="F676" s="8"/>
      <c r="G676" s="8"/>
      <c r="H676" s="8"/>
      <c r="I676" s="9"/>
      <c r="J676" s="9"/>
      <c r="K676" s="10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7"/>
      <c r="B677" s="8"/>
      <c r="C677" s="8"/>
      <c r="D677" s="8"/>
      <c r="E677" s="8"/>
      <c r="F677" s="8"/>
      <c r="G677" s="8"/>
      <c r="H677" s="8"/>
      <c r="I677" s="9"/>
      <c r="J677" s="9"/>
      <c r="K677" s="10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7"/>
      <c r="B678" s="8"/>
      <c r="C678" s="8"/>
      <c r="D678" s="8"/>
      <c r="E678" s="8"/>
      <c r="F678" s="8"/>
      <c r="G678" s="8"/>
      <c r="H678" s="8"/>
      <c r="I678" s="9"/>
      <c r="J678" s="9"/>
      <c r="K678" s="10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7"/>
      <c r="B679" s="8"/>
      <c r="C679" s="8"/>
      <c r="D679" s="8"/>
      <c r="E679" s="8"/>
      <c r="F679" s="8"/>
      <c r="G679" s="8"/>
      <c r="H679" s="8"/>
      <c r="I679" s="9"/>
      <c r="J679" s="9"/>
      <c r="K679" s="10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7"/>
      <c r="B680" s="8"/>
      <c r="C680" s="8"/>
      <c r="D680" s="8"/>
      <c r="E680" s="8"/>
      <c r="F680" s="8"/>
      <c r="G680" s="8"/>
      <c r="H680" s="8"/>
      <c r="I680" s="9"/>
      <c r="J680" s="9"/>
      <c r="K680" s="10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7"/>
      <c r="B681" s="8"/>
      <c r="C681" s="8"/>
      <c r="D681" s="8"/>
      <c r="E681" s="8"/>
      <c r="F681" s="8"/>
      <c r="G681" s="8"/>
      <c r="H681" s="8"/>
      <c r="I681" s="9"/>
      <c r="J681" s="9"/>
      <c r="K681" s="10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7"/>
      <c r="B682" s="8"/>
      <c r="C682" s="8"/>
      <c r="D682" s="8"/>
      <c r="E682" s="8"/>
      <c r="F682" s="8"/>
      <c r="G682" s="8"/>
      <c r="H682" s="8"/>
      <c r="I682" s="9"/>
      <c r="J682" s="9"/>
      <c r="K682" s="10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7"/>
      <c r="B683" s="8"/>
      <c r="C683" s="8"/>
      <c r="D683" s="8"/>
      <c r="E683" s="8"/>
      <c r="F683" s="8"/>
      <c r="G683" s="8"/>
      <c r="H683" s="8"/>
      <c r="I683" s="9"/>
      <c r="J683" s="9"/>
      <c r="K683" s="10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7"/>
      <c r="B684" s="8"/>
      <c r="C684" s="8"/>
      <c r="D684" s="8"/>
      <c r="E684" s="8"/>
      <c r="F684" s="8"/>
      <c r="G684" s="8"/>
      <c r="H684" s="8"/>
      <c r="I684" s="9"/>
      <c r="J684" s="9"/>
      <c r="K684" s="10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7"/>
      <c r="B685" s="8"/>
      <c r="C685" s="8"/>
      <c r="D685" s="8"/>
      <c r="E685" s="8"/>
      <c r="F685" s="8"/>
      <c r="G685" s="8"/>
      <c r="H685" s="8"/>
      <c r="I685" s="9"/>
      <c r="J685" s="9"/>
      <c r="K685" s="10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7"/>
      <c r="B686" s="8"/>
      <c r="C686" s="8"/>
      <c r="D686" s="8"/>
      <c r="E686" s="8"/>
      <c r="F686" s="8"/>
      <c r="G686" s="8"/>
      <c r="H686" s="8"/>
      <c r="I686" s="9"/>
      <c r="J686" s="9"/>
      <c r="K686" s="10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7"/>
      <c r="B687" s="8"/>
      <c r="C687" s="8"/>
      <c r="D687" s="8"/>
      <c r="E687" s="8"/>
      <c r="F687" s="8"/>
      <c r="G687" s="8"/>
      <c r="H687" s="8"/>
      <c r="I687" s="9"/>
      <c r="J687" s="9"/>
      <c r="K687" s="10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7"/>
      <c r="B688" s="8"/>
      <c r="C688" s="8"/>
      <c r="D688" s="8"/>
      <c r="E688" s="8"/>
      <c r="F688" s="8"/>
      <c r="G688" s="8"/>
      <c r="H688" s="8"/>
      <c r="I688" s="9"/>
      <c r="J688" s="9"/>
      <c r="K688" s="10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7"/>
      <c r="B689" s="8"/>
      <c r="C689" s="8"/>
      <c r="D689" s="8"/>
      <c r="E689" s="8"/>
      <c r="F689" s="8"/>
      <c r="G689" s="8"/>
      <c r="H689" s="8"/>
      <c r="I689" s="9"/>
      <c r="J689" s="9"/>
      <c r="K689" s="10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7"/>
      <c r="B690" s="8"/>
      <c r="C690" s="8"/>
      <c r="D690" s="8"/>
      <c r="E690" s="8"/>
      <c r="F690" s="8"/>
      <c r="G690" s="8"/>
      <c r="H690" s="8"/>
      <c r="I690" s="9"/>
      <c r="J690" s="9"/>
      <c r="K690" s="10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7"/>
      <c r="B691" s="8"/>
      <c r="C691" s="8"/>
      <c r="D691" s="8"/>
      <c r="E691" s="8"/>
      <c r="F691" s="8"/>
      <c r="G691" s="8"/>
      <c r="H691" s="8"/>
      <c r="I691" s="9"/>
      <c r="J691" s="9"/>
      <c r="K691" s="10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7"/>
      <c r="B692" s="8"/>
      <c r="C692" s="8"/>
      <c r="D692" s="8"/>
      <c r="E692" s="8"/>
      <c r="F692" s="8"/>
      <c r="G692" s="8"/>
      <c r="H692" s="8"/>
      <c r="I692" s="9"/>
      <c r="J692" s="9"/>
      <c r="K692" s="10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7"/>
      <c r="B693" s="8"/>
      <c r="C693" s="8"/>
      <c r="D693" s="8"/>
      <c r="E693" s="8"/>
      <c r="F693" s="8"/>
      <c r="G693" s="8"/>
      <c r="H693" s="8"/>
      <c r="I693" s="9"/>
      <c r="J693" s="9"/>
      <c r="K693" s="10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7"/>
      <c r="B694" s="8"/>
      <c r="C694" s="8"/>
      <c r="D694" s="8"/>
      <c r="E694" s="8"/>
      <c r="F694" s="8"/>
      <c r="G694" s="8"/>
      <c r="H694" s="8"/>
      <c r="I694" s="9"/>
      <c r="J694" s="9"/>
      <c r="K694" s="10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7"/>
      <c r="B695" s="8"/>
      <c r="C695" s="8"/>
      <c r="D695" s="8"/>
      <c r="E695" s="8"/>
      <c r="F695" s="8"/>
      <c r="G695" s="8"/>
      <c r="H695" s="8"/>
      <c r="I695" s="9"/>
      <c r="J695" s="9"/>
      <c r="K695" s="10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7"/>
      <c r="B696" s="8"/>
      <c r="C696" s="8"/>
      <c r="D696" s="8"/>
      <c r="E696" s="8"/>
      <c r="F696" s="8"/>
      <c r="G696" s="8"/>
      <c r="H696" s="8"/>
      <c r="I696" s="9"/>
      <c r="J696" s="9"/>
      <c r="K696" s="10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7"/>
      <c r="B697" s="8"/>
      <c r="C697" s="8"/>
      <c r="D697" s="8"/>
      <c r="E697" s="8"/>
      <c r="F697" s="8"/>
      <c r="G697" s="8"/>
      <c r="H697" s="8"/>
      <c r="I697" s="9"/>
      <c r="J697" s="9"/>
      <c r="K697" s="10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7"/>
      <c r="B698" s="8"/>
      <c r="C698" s="8"/>
      <c r="D698" s="8"/>
      <c r="E698" s="8"/>
      <c r="F698" s="8"/>
      <c r="G698" s="8"/>
      <c r="H698" s="8"/>
      <c r="I698" s="9"/>
      <c r="J698" s="9"/>
      <c r="K698" s="10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7"/>
      <c r="B699" s="8"/>
      <c r="C699" s="8"/>
      <c r="D699" s="8"/>
      <c r="E699" s="8"/>
      <c r="F699" s="8"/>
      <c r="G699" s="8"/>
      <c r="H699" s="8"/>
      <c r="I699" s="9"/>
      <c r="J699" s="9"/>
      <c r="K699" s="10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7"/>
      <c r="B700" s="8"/>
      <c r="C700" s="8"/>
      <c r="D700" s="8"/>
      <c r="E700" s="8"/>
      <c r="F700" s="8"/>
      <c r="G700" s="8"/>
      <c r="H700" s="8"/>
      <c r="I700" s="9"/>
      <c r="J700" s="9"/>
      <c r="K700" s="10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7"/>
      <c r="B701" s="8"/>
      <c r="C701" s="8"/>
      <c r="D701" s="8"/>
      <c r="E701" s="8"/>
      <c r="F701" s="8"/>
      <c r="G701" s="8"/>
      <c r="H701" s="8"/>
      <c r="I701" s="9"/>
      <c r="J701" s="9"/>
      <c r="K701" s="10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7"/>
      <c r="B702" s="8"/>
      <c r="C702" s="8"/>
      <c r="D702" s="8"/>
      <c r="E702" s="8"/>
      <c r="F702" s="8"/>
      <c r="G702" s="8"/>
      <c r="H702" s="8"/>
      <c r="I702" s="9"/>
      <c r="J702" s="9"/>
      <c r="K702" s="10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7"/>
      <c r="B703" s="8"/>
      <c r="C703" s="8"/>
      <c r="D703" s="8"/>
      <c r="E703" s="8"/>
      <c r="F703" s="8"/>
      <c r="G703" s="8"/>
      <c r="H703" s="8"/>
      <c r="I703" s="9"/>
      <c r="J703" s="9"/>
      <c r="K703" s="10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7"/>
      <c r="B704" s="8"/>
      <c r="C704" s="8"/>
      <c r="D704" s="8"/>
      <c r="E704" s="8"/>
      <c r="F704" s="8"/>
      <c r="G704" s="8"/>
      <c r="H704" s="8"/>
      <c r="I704" s="9"/>
      <c r="J704" s="9"/>
      <c r="K704" s="10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11"/>
      <c r="B705" s="12"/>
      <c r="C705" s="12"/>
      <c r="D705" s="12"/>
      <c r="E705" s="12"/>
      <c r="F705" s="12"/>
      <c r="G705" s="12"/>
      <c r="H705" s="12"/>
      <c r="I705" s="13"/>
      <c r="J705" s="13"/>
      <c r="K705" s="10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7"/>
      <c r="B706" s="8"/>
      <c r="C706" s="8"/>
      <c r="D706" s="8"/>
      <c r="E706" s="8"/>
      <c r="F706" s="8"/>
      <c r="G706" s="8"/>
      <c r="H706" s="8"/>
      <c r="I706" s="9"/>
      <c r="J706" s="9"/>
      <c r="K706" s="10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7"/>
      <c r="B707" s="8"/>
      <c r="C707" s="8"/>
      <c r="D707" s="8"/>
      <c r="E707" s="8"/>
      <c r="F707" s="8"/>
      <c r="G707" s="8"/>
      <c r="H707" s="8"/>
      <c r="I707" s="9"/>
      <c r="J707" s="9"/>
      <c r="K707" s="10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7"/>
      <c r="B708" s="8"/>
      <c r="C708" s="8"/>
      <c r="D708" s="8"/>
      <c r="E708" s="8"/>
      <c r="F708" s="8"/>
      <c r="G708" s="8"/>
      <c r="H708" s="8"/>
      <c r="I708" s="9"/>
      <c r="J708" s="9"/>
      <c r="K708" s="10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7"/>
      <c r="B709" s="8"/>
      <c r="C709" s="8"/>
      <c r="D709" s="8"/>
      <c r="E709" s="8"/>
      <c r="F709" s="8"/>
      <c r="G709" s="8"/>
      <c r="H709" s="8"/>
      <c r="I709" s="9"/>
      <c r="J709" s="9"/>
      <c r="K709" s="10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7"/>
      <c r="B710" s="8"/>
      <c r="C710" s="8"/>
      <c r="D710" s="8"/>
      <c r="E710" s="8"/>
      <c r="F710" s="8"/>
      <c r="G710" s="8"/>
      <c r="H710" s="8"/>
      <c r="I710" s="9"/>
      <c r="J710" s="9"/>
      <c r="K710" s="10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11"/>
      <c r="B711" s="12"/>
      <c r="C711" s="12"/>
      <c r="D711" s="12"/>
      <c r="E711" s="12"/>
      <c r="F711" s="12"/>
      <c r="G711" s="12"/>
      <c r="H711" s="12"/>
      <c r="I711" s="14"/>
      <c r="J711" s="14"/>
      <c r="K711" s="10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7"/>
      <c r="B712" s="8"/>
      <c r="C712" s="8"/>
      <c r="D712" s="8"/>
      <c r="E712" s="8"/>
      <c r="F712" s="8"/>
      <c r="G712" s="8"/>
      <c r="H712" s="8"/>
      <c r="I712" s="9"/>
      <c r="J712" s="9"/>
      <c r="K712" s="10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7"/>
      <c r="B713" s="8"/>
      <c r="C713" s="8"/>
      <c r="D713" s="8"/>
      <c r="E713" s="8"/>
      <c r="F713" s="8"/>
      <c r="G713" s="8"/>
      <c r="H713" s="8"/>
      <c r="I713" s="9"/>
      <c r="J713" s="9"/>
      <c r="K713" s="10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7"/>
      <c r="B714" s="8"/>
      <c r="C714" s="8"/>
      <c r="D714" s="8"/>
      <c r="E714" s="8"/>
      <c r="F714" s="8"/>
      <c r="G714" s="8"/>
      <c r="H714" s="8"/>
      <c r="I714" s="9"/>
      <c r="J714" s="9"/>
      <c r="K714" s="10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7"/>
      <c r="B715" s="8"/>
      <c r="C715" s="8"/>
      <c r="D715" s="8"/>
      <c r="E715" s="8"/>
      <c r="F715" s="8"/>
      <c r="G715" s="8"/>
      <c r="H715" s="8"/>
      <c r="I715" s="9"/>
      <c r="J715" s="9"/>
      <c r="K715" s="10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7"/>
      <c r="B716" s="8"/>
      <c r="C716" s="8"/>
      <c r="D716" s="8"/>
      <c r="E716" s="8"/>
      <c r="F716" s="8"/>
      <c r="G716" s="8"/>
      <c r="H716" s="8"/>
      <c r="I716" s="9"/>
      <c r="J716" s="9"/>
      <c r="K716" s="10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7"/>
      <c r="B717" s="8"/>
      <c r="C717" s="8"/>
      <c r="D717" s="8"/>
      <c r="E717" s="8"/>
      <c r="F717" s="8"/>
      <c r="G717" s="8"/>
      <c r="H717" s="8"/>
      <c r="I717" s="9"/>
      <c r="J717" s="9"/>
      <c r="K717" s="10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7"/>
      <c r="B718" s="8"/>
      <c r="C718" s="8"/>
      <c r="D718" s="8"/>
      <c r="E718" s="8"/>
      <c r="F718" s="8"/>
      <c r="G718" s="8"/>
      <c r="H718" s="8"/>
      <c r="I718" s="9"/>
      <c r="J718" s="9"/>
      <c r="K718" s="10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7"/>
      <c r="B719" s="8"/>
      <c r="C719" s="8"/>
      <c r="D719" s="8"/>
      <c r="E719" s="8"/>
      <c r="F719" s="8"/>
      <c r="G719" s="8"/>
      <c r="H719" s="8"/>
      <c r="I719" s="9"/>
      <c r="J719" s="9"/>
      <c r="K719" s="10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7"/>
      <c r="B720" s="8"/>
      <c r="C720" s="8"/>
      <c r="D720" s="8"/>
      <c r="E720" s="8"/>
      <c r="F720" s="8"/>
      <c r="G720" s="8"/>
      <c r="H720" s="8"/>
      <c r="I720" s="9"/>
      <c r="J720" s="9"/>
      <c r="K720" s="10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7"/>
      <c r="B721" s="8"/>
      <c r="C721" s="8"/>
      <c r="D721" s="8"/>
      <c r="E721" s="8"/>
      <c r="F721" s="8"/>
      <c r="G721" s="8"/>
      <c r="H721" s="8"/>
      <c r="I721" s="9"/>
      <c r="J721" s="9"/>
      <c r="K721" s="10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7"/>
      <c r="B722" s="8"/>
      <c r="C722" s="8"/>
      <c r="D722" s="8"/>
      <c r="E722" s="8"/>
      <c r="F722" s="8"/>
      <c r="G722" s="8"/>
      <c r="H722" s="8"/>
      <c r="I722" s="9"/>
      <c r="J722" s="9"/>
      <c r="K722" s="1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7"/>
      <c r="B723" s="8"/>
      <c r="C723" s="8"/>
      <c r="D723" s="8"/>
      <c r="E723" s="8"/>
      <c r="F723" s="8"/>
      <c r="G723" s="8"/>
      <c r="H723" s="8"/>
      <c r="I723" s="9"/>
      <c r="J723" s="9"/>
      <c r="K723" s="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7"/>
      <c r="B724" s="8"/>
      <c r="C724" s="8"/>
      <c r="D724" s="8"/>
      <c r="E724" s="8"/>
      <c r="F724" s="8"/>
      <c r="G724" s="8"/>
      <c r="H724" s="8"/>
      <c r="I724" s="9"/>
      <c r="J724" s="9"/>
      <c r="K724" s="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7"/>
      <c r="B725" s="8"/>
      <c r="C725" s="8"/>
      <c r="D725" s="8"/>
      <c r="E725" s="8"/>
      <c r="F725" s="8"/>
      <c r="G725" s="8"/>
      <c r="H725" s="8"/>
      <c r="I725" s="9"/>
      <c r="J725" s="9"/>
      <c r="K725" s="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7"/>
      <c r="B726" s="8"/>
      <c r="C726" s="8"/>
      <c r="D726" s="8"/>
      <c r="E726" s="8"/>
      <c r="F726" s="8"/>
      <c r="G726" s="8"/>
      <c r="H726" s="8"/>
      <c r="I726" s="9"/>
      <c r="J726" s="9"/>
      <c r="K726" s="1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7"/>
      <c r="B727" s="8"/>
      <c r="C727" s="8"/>
      <c r="D727" s="8"/>
      <c r="E727" s="8"/>
      <c r="F727" s="8"/>
      <c r="G727" s="8"/>
      <c r="H727" s="8"/>
      <c r="I727" s="9"/>
      <c r="J727" s="9"/>
      <c r="K727" s="1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7"/>
      <c r="B728" s="8"/>
      <c r="C728" s="8"/>
      <c r="D728" s="8"/>
      <c r="E728" s="8"/>
      <c r="F728" s="8"/>
      <c r="G728" s="8"/>
      <c r="H728" s="8"/>
      <c r="I728" s="9"/>
      <c r="J728" s="9"/>
      <c r="K728" s="1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7"/>
      <c r="B729" s="8"/>
      <c r="C729" s="8"/>
      <c r="D729" s="8"/>
      <c r="E729" s="8"/>
      <c r="F729" s="8"/>
      <c r="G729" s="8"/>
      <c r="H729" s="8"/>
      <c r="I729" s="9"/>
      <c r="J729" s="9"/>
      <c r="K729" s="1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7"/>
      <c r="B730" s="8"/>
      <c r="C730" s="8"/>
      <c r="D730" s="8"/>
      <c r="E730" s="8"/>
      <c r="F730" s="8"/>
      <c r="G730" s="8"/>
      <c r="H730" s="8"/>
      <c r="I730" s="9"/>
      <c r="J730" s="9"/>
      <c r="K730" s="1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7"/>
      <c r="B731" s="8"/>
      <c r="C731" s="8"/>
      <c r="D731" s="8"/>
      <c r="E731" s="8"/>
      <c r="F731" s="8"/>
      <c r="G731" s="8"/>
      <c r="H731" s="8"/>
      <c r="I731" s="9"/>
      <c r="J731" s="9"/>
      <c r="K731" s="1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7"/>
      <c r="B732" s="8"/>
      <c r="C732" s="8"/>
      <c r="D732" s="8"/>
      <c r="E732" s="8"/>
      <c r="F732" s="8"/>
      <c r="G732" s="8"/>
      <c r="H732" s="8"/>
      <c r="I732" s="9"/>
      <c r="J732" s="9"/>
      <c r="K732" s="1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7"/>
      <c r="B733" s="8"/>
      <c r="C733" s="8"/>
      <c r="D733" s="8"/>
      <c r="E733" s="8"/>
      <c r="F733" s="8"/>
      <c r="G733" s="8"/>
      <c r="H733" s="8"/>
      <c r="I733" s="9"/>
      <c r="J733" s="9"/>
      <c r="K733" s="1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7"/>
      <c r="B734" s="8"/>
      <c r="C734" s="8"/>
      <c r="D734" s="8"/>
      <c r="E734" s="8"/>
      <c r="F734" s="8"/>
      <c r="G734" s="8"/>
      <c r="H734" s="8"/>
      <c r="I734" s="9"/>
      <c r="J734" s="9"/>
      <c r="K734" s="1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11"/>
      <c r="B735" s="12"/>
      <c r="C735" s="12"/>
      <c r="D735" s="12"/>
      <c r="E735" s="12"/>
      <c r="F735" s="12"/>
      <c r="G735" s="12"/>
      <c r="H735" s="12"/>
      <c r="I735" s="13"/>
      <c r="J735" s="13"/>
      <c r="K735" s="1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7"/>
      <c r="B736" s="8"/>
      <c r="C736" s="8"/>
      <c r="D736" s="8"/>
      <c r="E736" s="8"/>
      <c r="F736" s="8"/>
      <c r="G736" s="8"/>
      <c r="H736" s="8"/>
      <c r="I736" s="9"/>
      <c r="J736" s="9"/>
      <c r="K736" s="1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7"/>
      <c r="B737" s="8"/>
      <c r="C737" s="8"/>
      <c r="D737" s="8"/>
      <c r="E737" s="8"/>
      <c r="F737" s="8"/>
      <c r="G737" s="8"/>
      <c r="H737" s="8"/>
      <c r="I737" s="9"/>
      <c r="J737" s="9"/>
      <c r="K737" s="1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7"/>
      <c r="B738" s="8"/>
      <c r="C738" s="8"/>
      <c r="D738" s="8"/>
      <c r="E738" s="8"/>
      <c r="F738" s="8"/>
      <c r="G738" s="8"/>
      <c r="H738" s="8"/>
      <c r="I738" s="9"/>
      <c r="J738" s="9"/>
      <c r="K738" s="1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7"/>
      <c r="B739" s="8"/>
      <c r="C739" s="8"/>
      <c r="D739" s="8"/>
      <c r="E739" s="8"/>
      <c r="F739" s="8"/>
      <c r="G739" s="8"/>
      <c r="H739" s="8"/>
      <c r="I739" s="9"/>
      <c r="J739" s="9"/>
      <c r="K739" s="10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7"/>
      <c r="B740" s="8"/>
      <c r="C740" s="8"/>
      <c r="D740" s="8"/>
      <c r="E740" s="8"/>
      <c r="F740" s="8"/>
      <c r="G740" s="8"/>
      <c r="H740" s="8"/>
      <c r="I740" s="9"/>
      <c r="J740" s="9"/>
      <c r="K740" s="10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7"/>
      <c r="B741" s="8"/>
      <c r="C741" s="8"/>
      <c r="D741" s="8"/>
      <c r="E741" s="8"/>
      <c r="F741" s="8"/>
      <c r="G741" s="8"/>
      <c r="H741" s="8"/>
      <c r="I741" s="9"/>
      <c r="J741" s="9"/>
      <c r="K741" s="10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7"/>
      <c r="B742" s="8"/>
      <c r="C742" s="8"/>
      <c r="D742" s="8"/>
      <c r="E742" s="8"/>
      <c r="F742" s="8"/>
      <c r="G742" s="8"/>
      <c r="H742" s="8"/>
      <c r="I742" s="9"/>
      <c r="J742" s="9"/>
      <c r="K742" s="10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7"/>
      <c r="B743" s="8"/>
      <c r="C743" s="8"/>
      <c r="D743" s="8"/>
      <c r="E743" s="8"/>
      <c r="F743" s="8"/>
      <c r="G743" s="8"/>
      <c r="H743" s="8"/>
      <c r="I743" s="9"/>
      <c r="J743" s="9"/>
      <c r="K743" s="10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7"/>
      <c r="B744" s="8"/>
      <c r="C744" s="8"/>
      <c r="D744" s="8"/>
      <c r="E744" s="8"/>
      <c r="F744" s="8"/>
      <c r="G744" s="8"/>
      <c r="H744" s="8"/>
      <c r="I744" s="9"/>
      <c r="J744" s="9"/>
      <c r="K744" s="10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7"/>
      <c r="B745" s="8"/>
      <c r="C745" s="8"/>
      <c r="D745" s="8"/>
      <c r="E745" s="8"/>
      <c r="F745" s="8"/>
      <c r="G745" s="8"/>
      <c r="H745" s="8"/>
      <c r="I745" s="9"/>
      <c r="J745" s="9"/>
      <c r="K745" s="10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7"/>
      <c r="B746" s="8"/>
      <c r="C746" s="8"/>
      <c r="D746" s="8"/>
      <c r="E746" s="8"/>
      <c r="F746" s="8"/>
      <c r="G746" s="8"/>
      <c r="H746" s="8"/>
      <c r="I746" s="9"/>
      <c r="J746" s="9"/>
      <c r="K746" s="10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7"/>
      <c r="B747" s="8"/>
      <c r="C747" s="8"/>
      <c r="D747" s="8"/>
      <c r="E747" s="8"/>
      <c r="F747" s="8"/>
      <c r="G747" s="8"/>
      <c r="H747" s="8"/>
      <c r="I747" s="9"/>
      <c r="J747" s="9"/>
      <c r="K747" s="10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7"/>
      <c r="B748" s="8"/>
      <c r="C748" s="8"/>
      <c r="D748" s="8"/>
      <c r="E748" s="8"/>
      <c r="F748" s="8"/>
      <c r="G748" s="8"/>
      <c r="H748" s="8"/>
      <c r="I748" s="9"/>
      <c r="J748" s="9"/>
      <c r="K748" s="10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7"/>
      <c r="B749" s="8"/>
      <c r="C749" s="8"/>
      <c r="D749" s="8"/>
      <c r="E749" s="8"/>
      <c r="F749" s="8"/>
      <c r="G749" s="8"/>
      <c r="H749" s="8"/>
      <c r="I749" s="9"/>
      <c r="J749" s="9"/>
      <c r="K749" s="10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7"/>
      <c r="B750" s="8"/>
      <c r="C750" s="8"/>
      <c r="D750" s="8"/>
      <c r="E750" s="8"/>
      <c r="F750" s="8"/>
      <c r="G750" s="8"/>
      <c r="H750" s="8"/>
      <c r="I750" s="9"/>
      <c r="J750" s="9"/>
      <c r="K750" s="10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7"/>
      <c r="B751" s="8"/>
      <c r="C751" s="8"/>
      <c r="D751" s="8"/>
      <c r="E751" s="8"/>
      <c r="F751" s="8"/>
      <c r="G751" s="8"/>
      <c r="H751" s="8"/>
      <c r="I751" s="9"/>
      <c r="J751" s="9"/>
      <c r="K751" s="10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7"/>
      <c r="B752" s="8"/>
      <c r="C752" s="8"/>
      <c r="D752" s="8"/>
      <c r="E752" s="8"/>
      <c r="F752" s="8"/>
      <c r="G752" s="8"/>
      <c r="H752" s="8"/>
      <c r="I752" s="9"/>
      <c r="J752" s="9"/>
      <c r="K752" s="10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7"/>
      <c r="B753" s="8"/>
      <c r="C753" s="8"/>
      <c r="D753" s="8"/>
      <c r="E753" s="8"/>
      <c r="F753" s="8"/>
      <c r="G753" s="8"/>
      <c r="H753" s="8"/>
      <c r="I753" s="9"/>
      <c r="J753" s="9"/>
      <c r="K753" s="10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7"/>
      <c r="B754" s="8"/>
      <c r="C754" s="8"/>
      <c r="D754" s="8"/>
      <c r="E754" s="8"/>
      <c r="F754" s="8"/>
      <c r="G754" s="8"/>
      <c r="H754" s="8"/>
      <c r="I754" s="9"/>
      <c r="J754" s="9"/>
      <c r="K754" s="10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7"/>
      <c r="B755" s="8"/>
      <c r="C755" s="8"/>
      <c r="D755" s="8"/>
      <c r="E755" s="8"/>
      <c r="F755" s="8"/>
      <c r="G755" s="8"/>
      <c r="H755" s="8"/>
      <c r="I755" s="9"/>
      <c r="J755" s="9"/>
      <c r="K755" s="10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7"/>
      <c r="B756" s="8"/>
      <c r="C756" s="8"/>
      <c r="D756" s="8"/>
      <c r="E756" s="8"/>
      <c r="F756" s="8"/>
      <c r="G756" s="8"/>
      <c r="H756" s="8"/>
      <c r="I756" s="9"/>
      <c r="J756" s="9"/>
      <c r="K756" s="10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7"/>
      <c r="B757" s="8"/>
      <c r="C757" s="8"/>
      <c r="D757" s="8"/>
      <c r="E757" s="8"/>
      <c r="F757" s="8"/>
      <c r="G757" s="8"/>
      <c r="H757" s="8"/>
      <c r="I757" s="9"/>
      <c r="J757" s="9"/>
      <c r="K757" s="10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7"/>
      <c r="B758" s="8"/>
      <c r="C758" s="8"/>
      <c r="D758" s="8"/>
      <c r="E758" s="8"/>
      <c r="F758" s="8"/>
      <c r="G758" s="8"/>
      <c r="H758" s="8"/>
      <c r="I758" s="9"/>
      <c r="J758" s="9"/>
      <c r="K758" s="10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7"/>
      <c r="B759" s="8"/>
      <c r="C759" s="8"/>
      <c r="D759" s="8"/>
      <c r="E759" s="8"/>
      <c r="F759" s="8"/>
      <c r="G759" s="8"/>
      <c r="H759" s="8"/>
      <c r="I759" s="9"/>
      <c r="J759" s="9"/>
      <c r="K759" s="10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7"/>
      <c r="B760" s="8"/>
      <c r="C760" s="8"/>
      <c r="D760" s="8"/>
      <c r="E760" s="8"/>
      <c r="F760" s="8"/>
      <c r="G760" s="8"/>
      <c r="H760" s="8"/>
      <c r="I760" s="9"/>
      <c r="J760" s="9"/>
      <c r="K760" s="1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7"/>
      <c r="B761" s="8"/>
      <c r="C761" s="8"/>
      <c r="D761" s="8"/>
      <c r="E761" s="8"/>
      <c r="F761" s="8"/>
      <c r="G761" s="8"/>
      <c r="H761" s="8"/>
      <c r="I761" s="9"/>
      <c r="J761" s="9"/>
      <c r="K761" s="1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7"/>
      <c r="B762" s="8"/>
      <c r="C762" s="8"/>
      <c r="D762" s="8"/>
      <c r="E762" s="8"/>
      <c r="F762" s="8"/>
      <c r="G762" s="8"/>
      <c r="H762" s="8"/>
      <c r="I762" s="9"/>
      <c r="J762" s="9"/>
      <c r="K762" s="1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7"/>
      <c r="B763" s="8"/>
      <c r="C763" s="8"/>
      <c r="D763" s="8"/>
      <c r="E763" s="8"/>
      <c r="F763" s="8"/>
      <c r="G763" s="8"/>
      <c r="H763" s="8"/>
      <c r="I763" s="9"/>
      <c r="J763" s="9"/>
      <c r="K763" s="10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7"/>
      <c r="B764" s="8"/>
      <c r="C764" s="8"/>
      <c r="D764" s="8"/>
      <c r="E764" s="8"/>
      <c r="F764" s="8"/>
      <c r="G764" s="8"/>
      <c r="H764" s="8"/>
      <c r="I764" s="9"/>
      <c r="J764" s="9"/>
      <c r="K764" s="10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7"/>
      <c r="B765" s="8"/>
      <c r="C765" s="8"/>
      <c r="D765" s="8"/>
      <c r="E765" s="8"/>
      <c r="F765" s="8"/>
      <c r="G765" s="8"/>
      <c r="H765" s="8"/>
      <c r="I765" s="9"/>
      <c r="J765" s="9"/>
      <c r="K765" s="10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7"/>
      <c r="B766" s="8"/>
      <c r="C766" s="8"/>
      <c r="D766" s="8"/>
      <c r="E766" s="8"/>
      <c r="F766" s="8"/>
      <c r="G766" s="8"/>
      <c r="H766" s="8"/>
      <c r="I766" s="9"/>
      <c r="J766" s="9"/>
      <c r="K766" s="10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7"/>
      <c r="B767" s="8"/>
      <c r="C767" s="8"/>
      <c r="D767" s="8"/>
      <c r="E767" s="8"/>
      <c r="F767" s="8"/>
      <c r="G767" s="8"/>
      <c r="H767" s="8"/>
      <c r="I767" s="9"/>
      <c r="J767" s="9"/>
      <c r="K767" s="10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7"/>
      <c r="B768" s="8"/>
      <c r="C768" s="8"/>
      <c r="D768" s="8"/>
      <c r="E768" s="8"/>
      <c r="F768" s="8"/>
      <c r="G768" s="8"/>
      <c r="H768" s="8"/>
      <c r="I768" s="9"/>
      <c r="J768" s="9"/>
      <c r="K768" s="10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7"/>
      <c r="B769" s="8"/>
      <c r="C769" s="8"/>
      <c r="D769" s="8"/>
      <c r="E769" s="8"/>
      <c r="F769" s="8"/>
      <c r="G769" s="8"/>
      <c r="H769" s="8"/>
      <c r="I769" s="9"/>
      <c r="J769" s="9"/>
      <c r="K769" s="10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7"/>
      <c r="B770" s="8"/>
      <c r="C770" s="8"/>
      <c r="D770" s="8"/>
      <c r="E770" s="8"/>
      <c r="F770" s="8"/>
      <c r="G770" s="8"/>
      <c r="H770" s="8"/>
      <c r="I770" s="9"/>
      <c r="J770" s="9"/>
      <c r="K770" s="10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7"/>
      <c r="B771" s="8"/>
      <c r="C771" s="8"/>
      <c r="D771" s="8"/>
      <c r="E771" s="8"/>
      <c r="F771" s="8"/>
      <c r="G771" s="8"/>
      <c r="H771" s="8"/>
      <c r="I771" s="9"/>
      <c r="J771" s="9"/>
      <c r="K771" s="10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7"/>
      <c r="B772" s="8"/>
      <c r="C772" s="8"/>
      <c r="D772" s="8"/>
      <c r="E772" s="8"/>
      <c r="F772" s="8"/>
      <c r="G772" s="8"/>
      <c r="H772" s="8"/>
      <c r="I772" s="9"/>
      <c r="J772" s="9"/>
      <c r="K772" s="10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7"/>
      <c r="B773" s="8"/>
      <c r="C773" s="8"/>
      <c r="D773" s="8"/>
      <c r="E773" s="8"/>
      <c r="F773" s="8"/>
      <c r="G773" s="8"/>
      <c r="H773" s="8"/>
      <c r="I773" s="9"/>
      <c r="J773" s="9"/>
      <c r="K773" s="1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7"/>
      <c r="B774" s="8"/>
      <c r="C774" s="8"/>
      <c r="D774" s="8"/>
      <c r="E774" s="8"/>
      <c r="F774" s="8"/>
      <c r="G774" s="8"/>
      <c r="H774" s="8"/>
      <c r="I774" s="9"/>
      <c r="J774" s="9"/>
      <c r="K774" s="1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7"/>
      <c r="B775" s="8"/>
      <c r="C775" s="8"/>
      <c r="D775" s="8"/>
      <c r="E775" s="8"/>
      <c r="F775" s="8"/>
      <c r="G775" s="8"/>
      <c r="H775" s="8"/>
      <c r="I775" s="9"/>
      <c r="J775" s="9"/>
      <c r="K775" s="10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7"/>
      <c r="B776" s="8"/>
      <c r="C776" s="8"/>
      <c r="D776" s="8"/>
      <c r="E776" s="8"/>
      <c r="F776" s="8"/>
      <c r="G776" s="8"/>
      <c r="H776" s="8"/>
      <c r="I776" s="9"/>
      <c r="J776" s="9"/>
      <c r="K776" s="10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7"/>
      <c r="B777" s="8"/>
      <c r="C777" s="8"/>
      <c r="D777" s="8"/>
      <c r="E777" s="8"/>
      <c r="F777" s="8"/>
      <c r="G777" s="8"/>
      <c r="H777" s="8"/>
      <c r="I777" s="9"/>
      <c r="J777" s="9"/>
      <c r="K777" s="10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7"/>
      <c r="B778" s="8"/>
      <c r="C778" s="8"/>
      <c r="D778" s="8"/>
      <c r="E778" s="8"/>
      <c r="F778" s="8"/>
      <c r="G778" s="8"/>
      <c r="H778" s="8"/>
      <c r="I778" s="9"/>
      <c r="J778" s="9"/>
      <c r="K778" s="10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7"/>
      <c r="B779" s="8"/>
      <c r="C779" s="8"/>
      <c r="D779" s="8"/>
      <c r="E779" s="8"/>
      <c r="F779" s="8"/>
      <c r="G779" s="8"/>
      <c r="H779" s="8"/>
      <c r="I779" s="9"/>
      <c r="J779" s="9"/>
      <c r="K779" s="10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7"/>
      <c r="B780" s="8"/>
      <c r="C780" s="8"/>
      <c r="D780" s="8"/>
      <c r="E780" s="8"/>
      <c r="F780" s="8"/>
      <c r="G780" s="8"/>
      <c r="H780" s="8"/>
      <c r="I780" s="9"/>
      <c r="J780" s="9"/>
      <c r="K780" s="10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7"/>
      <c r="B781" s="8"/>
      <c r="C781" s="8"/>
      <c r="D781" s="8"/>
      <c r="E781" s="8"/>
      <c r="F781" s="8"/>
      <c r="G781" s="8"/>
      <c r="H781" s="8"/>
      <c r="I781" s="9"/>
      <c r="J781" s="9"/>
      <c r="K781" s="10"/>
      <c r="L781" s="15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7"/>
      <c r="B782" s="8"/>
      <c r="C782" s="8"/>
      <c r="D782" s="8"/>
      <c r="E782" s="8"/>
      <c r="F782" s="8"/>
      <c r="G782" s="8"/>
      <c r="H782" s="8"/>
      <c r="I782" s="9"/>
      <c r="J782" s="9"/>
      <c r="K782" s="10"/>
      <c r="L782" s="15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7"/>
      <c r="B783" s="8"/>
      <c r="C783" s="8"/>
      <c r="D783" s="8"/>
      <c r="E783" s="8"/>
      <c r="F783" s="8"/>
      <c r="G783" s="8"/>
      <c r="H783" s="8"/>
      <c r="I783" s="9"/>
      <c r="J783" s="9"/>
      <c r="K783" s="10"/>
      <c r="L783" s="15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7"/>
      <c r="B784" s="8"/>
      <c r="C784" s="8"/>
      <c r="D784" s="8"/>
      <c r="E784" s="8"/>
      <c r="F784" s="8"/>
      <c r="G784" s="8"/>
      <c r="H784" s="8"/>
      <c r="I784" s="9"/>
      <c r="J784" s="9"/>
      <c r="K784" s="10"/>
      <c r="L784" s="15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7"/>
      <c r="B785" s="8"/>
      <c r="C785" s="8"/>
      <c r="D785" s="8"/>
      <c r="E785" s="8"/>
      <c r="F785" s="8"/>
      <c r="G785" s="8"/>
      <c r="H785" s="8"/>
      <c r="I785" s="9"/>
      <c r="J785" s="9"/>
      <c r="K785" s="10"/>
      <c r="L785" s="15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7"/>
      <c r="B786" s="8"/>
      <c r="C786" s="8"/>
      <c r="D786" s="8"/>
      <c r="E786" s="8"/>
      <c r="F786" s="8"/>
      <c r="G786" s="8"/>
      <c r="H786" s="8"/>
      <c r="I786" s="9"/>
      <c r="J786" s="9"/>
      <c r="K786" s="10"/>
      <c r="L786" s="15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7"/>
      <c r="B787" s="8"/>
      <c r="C787" s="8"/>
      <c r="D787" s="8"/>
      <c r="E787" s="8"/>
      <c r="F787" s="8"/>
      <c r="G787" s="8"/>
      <c r="H787" s="8"/>
      <c r="I787" s="9"/>
      <c r="J787" s="9"/>
      <c r="K787" s="10"/>
      <c r="L787" s="15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7"/>
      <c r="B788" s="8"/>
      <c r="C788" s="8"/>
      <c r="D788" s="8"/>
      <c r="E788" s="8"/>
      <c r="F788" s="8"/>
      <c r="G788" s="8"/>
      <c r="H788" s="8"/>
      <c r="I788" s="9"/>
      <c r="J788" s="9"/>
      <c r="K788" s="10"/>
      <c r="L788" s="15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7"/>
      <c r="B789" s="8"/>
      <c r="C789" s="8"/>
      <c r="D789" s="8"/>
      <c r="E789" s="8"/>
      <c r="F789" s="8"/>
      <c r="G789" s="8"/>
      <c r="H789" s="8"/>
      <c r="I789" s="9"/>
      <c r="J789" s="9"/>
      <c r="K789" s="10"/>
      <c r="L789" s="15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7"/>
      <c r="B790" s="8"/>
      <c r="C790" s="8"/>
      <c r="D790" s="8"/>
      <c r="E790" s="8"/>
      <c r="F790" s="8"/>
      <c r="G790" s="8"/>
      <c r="H790" s="8"/>
      <c r="I790" s="9"/>
      <c r="J790" s="9"/>
      <c r="K790" s="10"/>
      <c r="L790" s="15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7"/>
      <c r="B791" s="8"/>
      <c r="C791" s="8"/>
      <c r="D791" s="8"/>
      <c r="E791" s="8"/>
      <c r="F791" s="8"/>
      <c r="G791" s="8"/>
      <c r="H791" s="8"/>
      <c r="I791" s="9"/>
      <c r="J791" s="9"/>
      <c r="K791" s="10"/>
      <c r="L791" s="15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7"/>
      <c r="B792" s="8"/>
      <c r="C792" s="8"/>
      <c r="D792" s="8"/>
      <c r="E792" s="8"/>
      <c r="F792" s="8"/>
      <c r="G792" s="8"/>
      <c r="H792" s="8"/>
      <c r="I792" s="9"/>
      <c r="J792" s="9"/>
      <c r="K792" s="10"/>
      <c r="L792" s="15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7"/>
      <c r="B793" s="8"/>
      <c r="C793" s="8"/>
      <c r="D793" s="8"/>
      <c r="E793" s="8"/>
      <c r="F793" s="8"/>
      <c r="G793" s="8"/>
      <c r="H793" s="8"/>
      <c r="I793" s="9"/>
      <c r="J793" s="9"/>
      <c r="K793" s="10"/>
      <c r="L793" s="15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7"/>
      <c r="B794" s="8"/>
      <c r="C794" s="8"/>
      <c r="D794" s="8"/>
      <c r="E794" s="8"/>
      <c r="F794" s="8"/>
      <c r="G794" s="8"/>
      <c r="H794" s="8"/>
      <c r="I794" s="9"/>
      <c r="J794" s="9"/>
      <c r="K794" s="10"/>
      <c r="L794" s="1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7"/>
      <c r="B795" s="8"/>
      <c r="C795" s="8"/>
      <c r="D795" s="8"/>
      <c r="E795" s="8"/>
      <c r="F795" s="8"/>
      <c r="G795" s="8"/>
      <c r="H795" s="8"/>
      <c r="I795" s="9"/>
      <c r="J795" s="9"/>
      <c r="K795" s="10"/>
      <c r="L795" s="1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7"/>
      <c r="B796" s="8"/>
      <c r="C796" s="8"/>
      <c r="D796" s="8"/>
      <c r="E796" s="8"/>
      <c r="F796" s="8"/>
      <c r="G796" s="8"/>
      <c r="H796" s="8"/>
      <c r="I796" s="9"/>
      <c r="J796" s="9"/>
      <c r="K796" s="10"/>
      <c r="L796" s="1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7"/>
      <c r="B797" s="8"/>
      <c r="C797" s="8"/>
      <c r="D797" s="8"/>
      <c r="E797" s="8"/>
      <c r="F797" s="8"/>
      <c r="G797" s="8"/>
      <c r="H797" s="8"/>
      <c r="I797" s="9"/>
      <c r="J797" s="9"/>
      <c r="K797" s="10"/>
      <c r="L797" s="1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7"/>
      <c r="B798" s="8"/>
      <c r="C798" s="8"/>
      <c r="D798" s="8"/>
      <c r="E798" s="8"/>
      <c r="F798" s="8"/>
      <c r="G798" s="8"/>
      <c r="H798" s="8"/>
      <c r="I798" s="9"/>
      <c r="J798" s="9"/>
      <c r="K798" s="10"/>
      <c r="L798" s="1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7"/>
      <c r="B799" s="8"/>
      <c r="C799" s="8"/>
      <c r="D799" s="8"/>
      <c r="E799" s="8"/>
      <c r="F799" s="8"/>
      <c r="G799" s="8"/>
      <c r="H799" s="8"/>
      <c r="I799" s="9"/>
      <c r="J799" s="9"/>
      <c r="K799" s="10"/>
      <c r="L799" s="1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7"/>
      <c r="B800" s="8"/>
      <c r="C800" s="8"/>
      <c r="D800" s="8"/>
      <c r="E800" s="8"/>
      <c r="F800" s="8"/>
      <c r="G800" s="8"/>
      <c r="H800" s="8"/>
      <c r="I800" s="9"/>
      <c r="J800" s="9"/>
      <c r="K800" s="10"/>
      <c r="L800" s="1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7"/>
      <c r="B801" s="8"/>
      <c r="C801" s="8"/>
      <c r="D801" s="8"/>
      <c r="E801" s="8"/>
      <c r="F801" s="8"/>
      <c r="G801" s="8"/>
      <c r="H801" s="8"/>
      <c r="I801" s="9"/>
      <c r="J801" s="9"/>
      <c r="K801" s="10"/>
      <c r="L801" s="1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7"/>
      <c r="B802" s="8"/>
      <c r="C802" s="8"/>
      <c r="D802" s="8"/>
      <c r="E802" s="8"/>
      <c r="F802" s="8"/>
      <c r="G802" s="8"/>
      <c r="H802" s="8"/>
      <c r="I802" s="9"/>
      <c r="J802" s="9"/>
      <c r="K802" s="10"/>
      <c r="L802" s="1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7"/>
      <c r="B803" s="8"/>
      <c r="C803" s="8"/>
      <c r="D803" s="8"/>
      <c r="E803" s="8"/>
      <c r="F803" s="8"/>
      <c r="G803" s="8"/>
      <c r="H803" s="8"/>
      <c r="I803" s="9"/>
      <c r="J803" s="9"/>
      <c r="K803" s="10"/>
      <c r="L803" s="1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7"/>
      <c r="B804" s="8"/>
      <c r="C804" s="8"/>
      <c r="D804" s="8"/>
      <c r="E804" s="8"/>
      <c r="F804" s="8"/>
      <c r="G804" s="8"/>
      <c r="H804" s="8"/>
      <c r="I804" s="9"/>
      <c r="J804" s="9"/>
      <c r="K804" s="10"/>
      <c r="L804" s="1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7"/>
      <c r="B805" s="8"/>
      <c r="C805" s="8"/>
      <c r="D805" s="8"/>
      <c r="E805" s="8"/>
      <c r="F805" s="8"/>
      <c r="G805" s="8"/>
      <c r="H805" s="8"/>
      <c r="I805" s="9"/>
      <c r="J805" s="9"/>
      <c r="K805" s="10"/>
      <c r="L805" s="1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7"/>
      <c r="B806" s="8"/>
      <c r="C806" s="8"/>
      <c r="D806" s="8"/>
      <c r="E806" s="8"/>
      <c r="F806" s="8"/>
      <c r="G806" s="8"/>
      <c r="H806" s="8"/>
      <c r="I806" s="9"/>
      <c r="J806" s="9"/>
      <c r="K806" s="10"/>
      <c r="L806" s="1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7"/>
      <c r="B807" s="8"/>
      <c r="C807" s="8"/>
      <c r="D807" s="8"/>
      <c r="E807" s="8"/>
      <c r="F807" s="8"/>
      <c r="G807" s="8"/>
      <c r="H807" s="8"/>
      <c r="I807" s="9"/>
      <c r="J807" s="9"/>
      <c r="K807" s="10"/>
      <c r="L807" s="1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7"/>
      <c r="B808" s="8"/>
      <c r="C808" s="8"/>
      <c r="D808" s="8"/>
      <c r="E808" s="8"/>
      <c r="F808" s="8"/>
      <c r="G808" s="8"/>
      <c r="H808" s="8"/>
      <c r="I808" s="9"/>
      <c r="J808" s="9"/>
      <c r="K808" s="10"/>
      <c r="L808" s="1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7"/>
      <c r="B809" s="8"/>
      <c r="C809" s="8"/>
      <c r="D809" s="8"/>
      <c r="E809" s="8"/>
      <c r="F809" s="8"/>
      <c r="G809" s="8"/>
      <c r="H809" s="8"/>
      <c r="I809" s="9"/>
      <c r="J809" s="9"/>
      <c r="K809" s="10"/>
      <c r="L809" s="1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7"/>
      <c r="B810" s="8"/>
      <c r="C810" s="8"/>
      <c r="D810" s="8"/>
      <c r="E810" s="8"/>
      <c r="F810" s="8"/>
      <c r="G810" s="8"/>
      <c r="H810" s="8"/>
      <c r="I810" s="9"/>
      <c r="J810" s="9"/>
      <c r="K810" s="10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7"/>
      <c r="B811" s="8"/>
      <c r="C811" s="8"/>
      <c r="D811" s="8"/>
      <c r="E811" s="8"/>
      <c r="F811" s="8"/>
      <c r="G811" s="8"/>
      <c r="H811" s="8"/>
      <c r="I811" s="9"/>
      <c r="J811" s="9"/>
      <c r="K811" s="10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7"/>
      <c r="B812" s="8"/>
      <c r="C812" s="8"/>
      <c r="D812" s="8"/>
      <c r="E812" s="8"/>
      <c r="F812" s="8"/>
      <c r="G812" s="8"/>
      <c r="H812" s="8"/>
      <c r="I812" s="9"/>
      <c r="J812" s="9"/>
      <c r="K812" s="10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7"/>
      <c r="B813" s="8"/>
      <c r="C813" s="8"/>
      <c r="D813" s="8"/>
      <c r="E813" s="8"/>
      <c r="F813" s="8"/>
      <c r="G813" s="8"/>
      <c r="H813" s="8"/>
      <c r="I813" s="9"/>
      <c r="J813" s="9"/>
      <c r="K813" s="10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7"/>
      <c r="B814" s="8"/>
      <c r="C814" s="8"/>
      <c r="D814" s="8"/>
      <c r="E814" s="8"/>
      <c r="F814" s="8"/>
      <c r="G814" s="8"/>
      <c r="H814" s="8"/>
      <c r="I814" s="9"/>
      <c r="J814" s="9"/>
      <c r="K814" s="1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7"/>
      <c r="B815" s="8"/>
      <c r="C815" s="8"/>
      <c r="D815" s="8"/>
      <c r="E815" s="8"/>
      <c r="F815" s="8"/>
      <c r="G815" s="8"/>
      <c r="H815" s="8"/>
      <c r="I815" s="9"/>
      <c r="J815" s="9"/>
      <c r="K815" s="1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7"/>
      <c r="B816" s="8"/>
      <c r="C816" s="8"/>
      <c r="D816" s="8"/>
      <c r="E816" s="8"/>
      <c r="F816" s="8"/>
      <c r="G816" s="8"/>
      <c r="H816" s="8"/>
      <c r="I816" s="9"/>
      <c r="J816" s="9"/>
      <c r="K816" s="1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7"/>
      <c r="B817" s="8"/>
      <c r="C817" s="8"/>
      <c r="D817" s="8"/>
      <c r="E817" s="8"/>
      <c r="F817" s="8"/>
      <c r="G817" s="8"/>
      <c r="H817" s="8"/>
      <c r="I817" s="9"/>
      <c r="J817" s="9"/>
      <c r="K817" s="1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7"/>
      <c r="B818" s="8"/>
      <c r="C818" s="8"/>
      <c r="D818" s="8"/>
      <c r="E818" s="8"/>
      <c r="F818" s="8"/>
      <c r="G818" s="8"/>
      <c r="H818" s="8"/>
      <c r="I818" s="9"/>
      <c r="J818" s="9"/>
      <c r="K818" s="10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7"/>
      <c r="B819" s="8"/>
      <c r="C819" s="8"/>
      <c r="D819" s="8"/>
      <c r="E819" s="8"/>
      <c r="F819" s="8"/>
      <c r="G819" s="8"/>
      <c r="H819" s="8"/>
      <c r="I819" s="9"/>
      <c r="J819" s="9"/>
      <c r="K819" s="1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7"/>
      <c r="B820" s="8"/>
      <c r="C820" s="8"/>
      <c r="D820" s="8"/>
      <c r="E820" s="8"/>
      <c r="F820" s="8"/>
      <c r="G820" s="8"/>
      <c r="H820" s="8"/>
      <c r="I820" s="9"/>
      <c r="J820" s="9"/>
      <c r="K820" s="1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7"/>
      <c r="B821" s="8"/>
      <c r="C821" s="8"/>
      <c r="D821" s="8"/>
      <c r="E821" s="8"/>
      <c r="F821" s="8"/>
      <c r="G821" s="8"/>
      <c r="H821" s="8"/>
      <c r="I821" s="9"/>
      <c r="J821" s="9"/>
      <c r="K821" s="1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7"/>
      <c r="B822" s="8"/>
      <c r="C822" s="8"/>
      <c r="D822" s="8"/>
      <c r="E822" s="8"/>
      <c r="F822" s="8"/>
      <c r="G822" s="8"/>
      <c r="H822" s="8"/>
      <c r="I822" s="9"/>
      <c r="J822" s="9"/>
      <c r="K822" s="1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7"/>
      <c r="B823" s="8"/>
      <c r="C823" s="8"/>
      <c r="D823" s="8"/>
      <c r="E823" s="8"/>
      <c r="F823" s="8"/>
      <c r="G823" s="8"/>
      <c r="H823" s="8"/>
      <c r="I823" s="9"/>
      <c r="J823" s="9"/>
      <c r="K823" s="1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7"/>
      <c r="B824" s="8"/>
      <c r="C824" s="8"/>
      <c r="D824" s="8"/>
      <c r="E824" s="8"/>
      <c r="F824" s="8"/>
      <c r="G824" s="8"/>
      <c r="H824" s="8"/>
      <c r="I824" s="9"/>
      <c r="J824" s="9"/>
      <c r="K824" s="1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7"/>
      <c r="B825" s="8"/>
      <c r="C825" s="8"/>
      <c r="D825" s="8"/>
      <c r="E825" s="8"/>
      <c r="F825" s="8"/>
      <c r="G825" s="8"/>
      <c r="H825" s="8"/>
      <c r="I825" s="9"/>
      <c r="J825" s="9"/>
      <c r="K825" s="1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7"/>
      <c r="B826" s="8"/>
      <c r="C826" s="8"/>
      <c r="D826" s="8"/>
      <c r="E826" s="8"/>
      <c r="F826" s="8"/>
      <c r="G826" s="8"/>
      <c r="H826" s="8"/>
      <c r="I826" s="9"/>
      <c r="J826" s="9"/>
      <c r="K826" s="1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7"/>
      <c r="B827" s="8"/>
      <c r="C827" s="8"/>
      <c r="D827" s="8"/>
      <c r="E827" s="8"/>
      <c r="F827" s="8"/>
      <c r="G827" s="8"/>
      <c r="H827" s="8"/>
      <c r="I827" s="9"/>
      <c r="J827" s="9"/>
      <c r="K827" s="1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7"/>
      <c r="B828" s="8"/>
      <c r="C828" s="8"/>
      <c r="D828" s="8"/>
      <c r="E828" s="8"/>
      <c r="F828" s="8"/>
      <c r="G828" s="8"/>
      <c r="H828" s="8"/>
      <c r="I828" s="9"/>
      <c r="J828" s="9"/>
      <c r="K828" s="1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7"/>
      <c r="B829" s="8"/>
      <c r="C829" s="8"/>
      <c r="D829" s="8"/>
      <c r="E829" s="8"/>
      <c r="F829" s="8"/>
      <c r="G829" s="8"/>
      <c r="H829" s="8"/>
      <c r="I829" s="9"/>
      <c r="J829" s="9"/>
      <c r="K829" s="1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7"/>
      <c r="B830" s="8"/>
      <c r="C830" s="8"/>
      <c r="D830" s="8"/>
      <c r="E830" s="8"/>
      <c r="F830" s="8"/>
      <c r="G830" s="8"/>
      <c r="H830" s="8"/>
      <c r="I830" s="9"/>
      <c r="J830" s="9"/>
      <c r="K830" s="1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7"/>
      <c r="B831" s="8"/>
      <c r="C831" s="8"/>
      <c r="D831" s="8"/>
      <c r="E831" s="8"/>
      <c r="F831" s="8"/>
      <c r="G831" s="8"/>
      <c r="H831" s="8"/>
      <c r="I831" s="9"/>
      <c r="J831" s="9"/>
      <c r="K831" s="1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7"/>
      <c r="B832" s="8"/>
      <c r="C832" s="8"/>
      <c r="D832" s="8"/>
      <c r="E832" s="8"/>
      <c r="F832" s="8"/>
      <c r="G832" s="8"/>
      <c r="H832" s="8"/>
      <c r="I832" s="9"/>
      <c r="J832" s="9"/>
      <c r="K832" s="1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7"/>
      <c r="B833" s="8"/>
      <c r="C833" s="8"/>
      <c r="D833" s="8"/>
      <c r="E833" s="8"/>
      <c r="F833" s="8"/>
      <c r="G833" s="8"/>
      <c r="H833" s="8"/>
      <c r="I833" s="9"/>
      <c r="J833" s="9"/>
      <c r="K833" s="1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7"/>
      <c r="B834" s="8"/>
      <c r="C834" s="8"/>
      <c r="D834" s="8"/>
      <c r="E834" s="8"/>
      <c r="F834" s="8"/>
      <c r="G834" s="8"/>
      <c r="H834" s="8"/>
      <c r="I834" s="9"/>
      <c r="J834" s="9"/>
      <c r="K834" s="1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7"/>
      <c r="B835" s="8"/>
      <c r="C835" s="8"/>
      <c r="D835" s="8"/>
      <c r="E835" s="8"/>
      <c r="F835" s="8"/>
      <c r="G835" s="8"/>
      <c r="H835" s="8"/>
      <c r="I835" s="9"/>
      <c r="J835" s="9"/>
      <c r="K835" s="1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7"/>
      <c r="B836" s="8"/>
      <c r="C836" s="8"/>
      <c r="D836" s="8"/>
      <c r="E836" s="8"/>
      <c r="F836" s="8"/>
      <c r="G836" s="8"/>
      <c r="H836" s="8"/>
      <c r="I836" s="9"/>
      <c r="J836" s="9"/>
      <c r="K836" s="1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7"/>
      <c r="B837" s="8"/>
      <c r="C837" s="8"/>
      <c r="D837" s="8"/>
      <c r="E837" s="8"/>
      <c r="F837" s="8"/>
      <c r="G837" s="8"/>
      <c r="H837" s="8"/>
      <c r="I837" s="9"/>
      <c r="J837" s="9"/>
      <c r="K837" s="1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7"/>
      <c r="B838" s="8"/>
      <c r="C838" s="8"/>
      <c r="D838" s="8"/>
      <c r="E838" s="8"/>
      <c r="F838" s="8"/>
      <c r="G838" s="8"/>
      <c r="H838" s="8"/>
      <c r="I838" s="9"/>
      <c r="J838" s="9"/>
      <c r="K838" s="1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7"/>
      <c r="B839" s="8"/>
      <c r="C839" s="8"/>
      <c r="D839" s="8"/>
      <c r="E839" s="8"/>
      <c r="F839" s="8"/>
      <c r="G839" s="8"/>
      <c r="H839" s="8"/>
      <c r="I839" s="9"/>
      <c r="J839" s="9"/>
      <c r="K839" s="1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7"/>
      <c r="B840" s="8"/>
      <c r="C840" s="8"/>
      <c r="D840" s="8"/>
      <c r="E840" s="8"/>
      <c r="F840" s="8"/>
      <c r="G840" s="8"/>
      <c r="H840" s="8"/>
      <c r="I840" s="9"/>
      <c r="J840" s="9"/>
      <c r="K840" s="1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7"/>
      <c r="B841" s="8"/>
      <c r="C841" s="8"/>
      <c r="D841" s="8"/>
      <c r="E841" s="8"/>
      <c r="F841" s="8"/>
      <c r="G841" s="8"/>
      <c r="H841" s="8"/>
      <c r="I841" s="9"/>
      <c r="J841" s="9"/>
      <c r="K841" s="1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7"/>
      <c r="B842" s="8"/>
      <c r="C842" s="8"/>
      <c r="D842" s="8"/>
      <c r="E842" s="8"/>
      <c r="F842" s="8"/>
      <c r="G842" s="8"/>
      <c r="H842" s="8"/>
      <c r="I842" s="9"/>
      <c r="J842" s="9"/>
      <c r="K842" s="1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7"/>
      <c r="B843" s="8"/>
      <c r="C843" s="8"/>
      <c r="D843" s="8"/>
      <c r="E843" s="8"/>
      <c r="F843" s="8"/>
      <c r="G843" s="8"/>
      <c r="H843" s="8"/>
      <c r="I843" s="9"/>
      <c r="J843" s="9"/>
      <c r="K843" s="1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7"/>
      <c r="B844" s="8"/>
      <c r="C844" s="8"/>
      <c r="D844" s="8"/>
      <c r="E844" s="8"/>
      <c r="F844" s="8"/>
      <c r="G844" s="8"/>
      <c r="H844" s="8"/>
      <c r="I844" s="9"/>
      <c r="J844" s="9"/>
      <c r="K844" s="1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7"/>
      <c r="B845" s="8"/>
      <c r="C845" s="8"/>
      <c r="D845" s="8"/>
      <c r="E845" s="8"/>
      <c r="F845" s="8"/>
      <c r="G845" s="8"/>
      <c r="H845" s="8"/>
      <c r="I845" s="9"/>
      <c r="J845" s="9"/>
      <c r="K845" s="1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7"/>
      <c r="B846" s="8"/>
      <c r="C846" s="8"/>
      <c r="D846" s="8"/>
      <c r="E846" s="8"/>
      <c r="F846" s="8"/>
      <c r="G846" s="8"/>
      <c r="H846" s="8"/>
      <c r="I846" s="9"/>
      <c r="J846" s="9"/>
      <c r="K846" s="1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7"/>
      <c r="B847" s="8"/>
      <c r="C847" s="8"/>
      <c r="D847" s="8"/>
      <c r="E847" s="8"/>
      <c r="F847" s="8"/>
      <c r="G847" s="8"/>
      <c r="H847" s="8"/>
      <c r="I847" s="9"/>
      <c r="J847" s="9"/>
      <c r="K847" s="1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7"/>
      <c r="B848" s="8"/>
      <c r="C848" s="8"/>
      <c r="D848" s="8"/>
      <c r="E848" s="8"/>
      <c r="F848" s="8"/>
      <c r="G848" s="8"/>
      <c r="H848" s="8"/>
      <c r="I848" s="9"/>
      <c r="J848" s="9"/>
      <c r="K848" s="1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7"/>
      <c r="B849" s="8"/>
      <c r="C849" s="8"/>
      <c r="D849" s="8"/>
      <c r="E849" s="8"/>
      <c r="F849" s="8"/>
      <c r="G849" s="8"/>
      <c r="H849" s="8"/>
      <c r="I849" s="9"/>
      <c r="J849" s="9"/>
      <c r="K849" s="1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7"/>
      <c r="B850" s="8"/>
      <c r="C850" s="8"/>
      <c r="D850" s="8"/>
      <c r="E850" s="8"/>
      <c r="F850" s="8"/>
      <c r="G850" s="8"/>
      <c r="H850" s="8"/>
      <c r="I850" s="9"/>
      <c r="J850" s="9"/>
      <c r="K850" s="1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7"/>
      <c r="B851" s="8"/>
      <c r="C851" s="8"/>
      <c r="D851" s="8"/>
      <c r="E851" s="8"/>
      <c r="F851" s="8"/>
      <c r="G851" s="8"/>
      <c r="H851" s="8"/>
      <c r="I851" s="9"/>
      <c r="J851" s="9"/>
      <c r="K851" s="1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7"/>
      <c r="B852" s="8"/>
      <c r="C852" s="8"/>
      <c r="D852" s="8"/>
      <c r="E852" s="8"/>
      <c r="F852" s="8"/>
      <c r="G852" s="8"/>
      <c r="H852" s="8"/>
      <c r="I852" s="9"/>
      <c r="J852" s="9"/>
      <c r="K852" s="1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7"/>
      <c r="B853" s="8"/>
      <c r="C853" s="8"/>
      <c r="D853" s="8"/>
      <c r="E853" s="8"/>
      <c r="F853" s="8"/>
      <c r="G853" s="8"/>
      <c r="H853" s="8"/>
      <c r="I853" s="9"/>
      <c r="J853" s="9"/>
      <c r="K853" s="1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7"/>
      <c r="B854" s="8"/>
      <c r="C854" s="8"/>
      <c r="D854" s="8"/>
      <c r="E854" s="8"/>
      <c r="F854" s="8"/>
      <c r="G854" s="8"/>
      <c r="H854" s="8"/>
      <c r="I854" s="9"/>
      <c r="J854" s="9"/>
      <c r="K854" s="1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7"/>
      <c r="B855" s="8"/>
      <c r="C855" s="8"/>
      <c r="D855" s="8"/>
      <c r="E855" s="8"/>
      <c r="F855" s="8"/>
      <c r="G855" s="8"/>
      <c r="H855" s="8"/>
      <c r="I855" s="9"/>
      <c r="J855" s="9"/>
      <c r="K855" s="1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7"/>
      <c r="B856" s="8"/>
      <c r="C856" s="8"/>
      <c r="D856" s="8"/>
      <c r="E856" s="8"/>
      <c r="F856" s="8"/>
      <c r="G856" s="8"/>
      <c r="H856" s="8"/>
      <c r="I856" s="9"/>
      <c r="J856" s="9"/>
      <c r="K856" s="1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7"/>
      <c r="B857" s="8"/>
      <c r="C857" s="8"/>
      <c r="D857" s="8"/>
      <c r="E857" s="8"/>
      <c r="F857" s="8"/>
      <c r="G857" s="8"/>
      <c r="H857" s="8"/>
      <c r="I857" s="9"/>
      <c r="J857" s="9"/>
      <c r="K857" s="1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7"/>
      <c r="B858" s="8"/>
      <c r="C858" s="8"/>
      <c r="D858" s="8"/>
      <c r="E858" s="8"/>
      <c r="F858" s="8"/>
      <c r="G858" s="8"/>
      <c r="H858" s="8"/>
      <c r="I858" s="9"/>
      <c r="J858" s="9"/>
      <c r="K858" s="1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7"/>
      <c r="B859" s="8"/>
      <c r="C859" s="8"/>
      <c r="D859" s="8"/>
      <c r="E859" s="8"/>
      <c r="F859" s="8"/>
      <c r="G859" s="8"/>
      <c r="H859" s="8"/>
      <c r="I859" s="9"/>
      <c r="J859" s="9"/>
      <c r="K859" s="1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7"/>
      <c r="B860" s="8"/>
      <c r="C860" s="8"/>
      <c r="D860" s="8"/>
      <c r="E860" s="8"/>
      <c r="F860" s="8"/>
      <c r="G860" s="8"/>
      <c r="H860" s="8"/>
      <c r="I860" s="9"/>
      <c r="J860" s="9"/>
      <c r="K860" s="1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7"/>
      <c r="B861" s="8"/>
      <c r="C861" s="8"/>
      <c r="D861" s="8"/>
      <c r="E861" s="8"/>
      <c r="F861" s="8"/>
      <c r="G861" s="8"/>
      <c r="H861" s="8"/>
      <c r="I861" s="9"/>
      <c r="J861" s="9"/>
      <c r="K861" s="1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7"/>
      <c r="B862" s="8"/>
      <c r="C862" s="8"/>
      <c r="D862" s="8"/>
      <c r="E862" s="8"/>
      <c r="F862" s="8"/>
      <c r="G862" s="8"/>
      <c r="H862" s="8"/>
      <c r="I862" s="9"/>
      <c r="J862" s="9"/>
      <c r="K862" s="1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7"/>
      <c r="B863" s="8"/>
      <c r="C863" s="8"/>
      <c r="D863" s="8"/>
      <c r="E863" s="8"/>
      <c r="F863" s="8"/>
      <c r="G863" s="8"/>
      <c r="H863" s="8"/>
      <c r="I863" s="9"/>
      <c r="J863" s="9"/>
      <c r="K863" s="1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7"/>
      <c r="B864" s="8"/>
      <c r="C864" s="8"/>
      <c r="D864" s="8"/>
      <c r="E864" s="8"/>
      <c r="F864" s="8"/>
      <c r="G864" s="8"/>
      <c r="H864" s="8"/>
      <c r="I864" s="9"/>
      <c r="J864" s="9"/>
      <c r="K864" s="1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7"/>
      <c r="B865" s="8"/>
      <c r="C865" s="8"/>
      <c r="D865" s="8"/>
      <c r="E865" s="8"/>
      <c r="F865" s="8"/>
      <c r="G865" s="8"/>
      <c r="H865" s="8"/>
      <c r="I865" s="9"/>
      <c r="J865" s="9"/>
      <c r="K865" s="1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7"/>
      <c r="B866" s="8"/>
      <c r="C866" s="8"/>
      <c r="D866" s="8"/>
      <c r="E866" s="8"/>
      <c r="F866" s="8"/>
      <c r="G866" s="8"/>
      <c r="H866" s="8"/>
      <c r="I866" s="9"/>
      <c r="J866" s="9"/>
      <c r="K866" s="1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7"/>
      <c r="B867" s="8"/>
      <c r="C867" s="8"/>
      <c r="D867" s="8"/>
      <c r="E867" s="8"/>
      <c r="F867" s="8"/>
      <c r="G867" s="8"/>
      <c r="H867" s="8"/>
      <c r="I867" s="9"/>
      <c r="J867" s="9"/>
      <c r="K867" s="1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7"/>
      <c r="B868" s="8"/>
      <c r="C868" s="8"/>
      <c r="D868" s="8"/>
      <c r="E868" s="8"/>
      <c r="F868" s="8"/>
      <c r="G868" s="8"/>
      <c r="H868" s="8"/>
      <c r="I868" s="9"/>
      <c r="J868" s="9"/>
      <c r="K868" s="1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7"/>
      <c r="B869" s="8"/>
      <c r="C869" s="8"/>
      <c r="D869" s="8"/>
      <c r="E869" s="8"/>
      <c r="F869" s="8"/>
      <c r="G869" s="8"/>
      <c r="H869" s="8"/>
      <c r="I869" s="9"/>
      <c r="J869" s="9"/>
      <c r="K869" s="1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7"/>
      <c r="B870" s="8"/>
      <c r="C870" s="8"/>
      <c r="D870" s="8"/>
      <c r="E870" s="8"/>
      <c r="F870" s="8"/>
      <c r="G870" s="8"/>
      <c r="H870" s="8"/>
      <c r="I870" s="9"/>
      <c r="J870" s="9"/>
      <c r="K870" s="1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7"/>
      <c r="B871" s="8"/>
      <c r="C871" s="8"/>
      <c r="D871" s="8"/>
      <c r="E871" s="8"/>
      <c r="F871" s="8"/>
      <c r="G871" s="8"/>
      <c r="H871" s="8"/>
      <c r="I871" s="9"/>
      <c r="J871" s="9"/>
      <c r="K871" s="1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7"/>
      <c r="B872" s="8"/>
      <c r="C872" s="8"/>
      <c r="D872" s="8"/>
      <c r="E872" s="8"/>
      <c r="F872" s="8"/>
      <c r="G872" s="8"/>
      <c r="H872" s="8"/>
      <c r="I872" s="9"/>
      <c r="J872" s="9"/>
      <c r="K872" s="1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7"/>
      <c r="B873" s="8"/>
      <c r="C873" s="8"/>
      <c r="D873" s="8"/>
      <c r="E873" s="8"/>
      <c r="F873" s="8"/>
      <c r="G873" s="8"/>
      <c r="H873" s="8"/>
      <c r="I873" s="9"/>
      <c r="J873" s="9"/>
      <c r="K873" s="1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7"/>
      <c r="B874" s="8"/>
      <c r="C874" s="8"/>
      <c r="D874" s="8"/>
      <c r="E874" s="8"/>
      <c r="F874" s="8"/>
      <c r="G874" s="8"/>
      <c r="H874" s="8"/>
      <c r="I874" s="9"/>
      <c r="J874" s="9"/>
      <c r="K874" s="1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7"/>
      <c r="B875" s="8"/>
      <c r="C875" s="8"/>
      <c r="D875" s="8"/>
      <c r="E875" s="8"/>
      <c r="F875" s="8"/>
      <c r="G875" s="8"/>
      <c r="H875" s="8"/>
      <c r="I875" s="9"/>
      <c r="J875" s="9"/>
      <c r="K875" s="1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7"/>
      <c r="B876" s="8"/>
      <c r="C876" s="8"/>
      <c r="D876" s="8"/>
      <c r="E876" s="8"/>
      <c r="F876" s="8"/>
      <c r="G876" s="8"/>
      <c r="H876" s="8"/>
      <c r="I876" s="9"/>
      <c r="J876" s="9"/>
      <c r="K876" s="1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7"/>
      <c r="B877" s="8"/>
      <c r="C877" s="8"/>
      <c r="D877" s="8"/>
      <c r="E877" s="8"/>
      <c r="F877" s="8"/>
      <c r="G877" s="8"/>
      <c r="H877" s="8"/>
      <c r="I877" s="9"/>
      <c r="J877" s="9"/>
      <c r="K877" s="1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7"/>
      <c r="B878" s="8"/>
      <c r="C878" s="8"/>
      <c r="D878" s="8"/>
      <c r="E878" s="8"/>
      <c r="F878" s="8"/>
      <c r="G878" s="8"/>
      <c r="H878" s="8"/>
      <c r="I878" s="9"/>
      <c r="J878" s="9"/>
      <c r="K878" s="1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7"/>
      <c r="B879" s="8"/>
      <c r="C879" s="8"/>
      <c r="D879" s="8"/>
      <c r="E879" s="8"/>
      <c r="F879" s="8"/>
      <c r="G879" s="8"/>
      <c r="H879" s="8"/>
      <c r="I879" s="9"/>
      <c r="J879" s="9"/>
      <c r="K879" s="1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7"/>
      <c r="B880" s="8"/>
      <c r="C880" s="8"/>
      <c r="D880" s="8"/>
      <c r="E880" s="8"/>
      <c r="F880" s="8"/>
      <c r="G880" s="8"/>
      <c r="H880" s="8"/>
      <c r="I880" s="9"/>
      <c r="J880" s="9"/>
      <c r="K880" s="1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7"/>
      <c r="B881" s="8"/>
      <c r="C881" s="8"/>
      <c r="D881" s="8"/>
      <c r="E881" s="8"/>
      <c r="F881" s="8"/>
      <c r="G881" s="8"/>
      <c r="H881" s="8"/>
      <c r="I881" s="9"/>
      <c r="J881" s="9"/>
      <c r="K881" s="1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7"/>
      <c r="B882" s="8"/>
      <c r="C882" s="8"/>
      <c r="D882" s="8"/>
      <c r="E882" s="8"/>
      <c r="F882" s="8"/>
      <c r="G882" s="8"/>
      <c r="H882" s="8"/>
      <c r="I882" s="9"/>
      <c r="J882" s="9"/>
      <c r="K882" s="1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7"/>
      <c r="B883" s="8"/>
      <c r="C883" s="8"/>
      <c r="D883" s="8"/>
      <c r="E883" s="8"/>
      <c r="F883" s="8"/>
      <c r="G883" s="8"/>
      <c r="H883" s="8"/>
      <c r="I883" s="9"/>
      <c r="J883" s="9"/>
      <c r="K883" s="1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7"/>
      <c r="B884" s="8"/>
      <c r="C884" s="8"/>
      <c r="D884" s="8"/>
      <c r="E884" s="8"/>
      <c r="F884" s="8"/>
      <c r="G884" s="8"/>
      <c r="H884" s="8"/>
      <c r="I884" s="9"/>
      <c r="J884" s="9"/>
      <c r="K884" s="1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7"/>
      <c r="B885" s="8"/>
      <c r="C885" s="8"/>
      <c r="D885" s="8"/>
      <c r="E885" s="8"/>
      <c r="F885" s="8"/>
      <c r="G885" s="8"/>
      <c r="H885" s="8"/>
      <c r="I885" s="9"/>
      <c r="J885" s="9"/>
      <c r="K885" s="1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7"/>
      <c r="B886" s="8"/>
      <c r="C886" s="8"/>
      <c r="D886" s="8"/>
      <c r="E886" s="8"/>
      <c r="F886" s="8"/>
      <c r="G886" s="8"/>
      <c r="H886" s="8"/>
      <c r="I886" s="9"/>
      <c r="J886" s="9"/>
      <c r="K886" s="1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7"/>
      <c r="B887" s="8"/>
      <c r="C887" s="8"/>
      <c r="D887" s="8"/>
      <c r="E887" s="8"/>
      <c r="F887" s="8"/>
      <c r="G887" s="8"/>
      <c r="H887" s="8"/>
      <c r="I887" s="9"/>
      <c r="J887" s="9"/>
      <c r="K887" s="1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7"/>
      <c r="B888" s="8"/>
      <c r="C888" s="8"/>
      <c r="D888" s="8"/>
      <c r="E888" s="8"/>
      <c r="F888" s="8"/>
      <c r="G888" s="8"/>
      <c r="H888" s="8"/>
      <c r="I888" s="9"/>
      <c r="J888" s="9"/>
      <c r="K888" s="1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7"/>
      <c r="B889" s="8"/>
      <c r="C889" s="8"/>
      <c r="D889" s="8"/>
      <c r="E889" s="8"/>
      <c r="F889" s="8"/>
      <c r="G889" s="8"/>
      <c r="H889" s="8"/>
      <c r="I889" s="9"/>
      <c r="J889" s="9"/>
      <c r="K889" s="1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7"/>
      <c r="B890" s="8"/>
      <c r="C890" s="8"/>
      <c r="D890" s="8"/>
      <c r="E890" s="8"/>
      <c r="F890" s="8"/>
      <c r="G890" s="8"/>
      <c r="H890" s="8"/>
      <c r="I890" s="9"/>
      <c r="J890" s="9"/>
      <c r="K890" s="1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7"/>
      <c r="B891" s="8"/>
      <c r="C891" s="8"/>
      <c r="D891" s="8"/>
      <c r="E891" s="8"/>
      <c r="F891" s="8"/>
      <c r="G891" s="8"/>
      <c r="H891" s="8"/>
      <c r="I891" s="9"/>
      <c r="J891" s="9"/>
      <c r="K891" s="1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7"/>
      <c r="B892" s="8"/>
      <c r="C892" s="8"/>
      <c r="D892" s="8"/>
      <c r="E892" s="8"/>
      <c r="F892" s="8"/>
      <c r="G892" s="8"/>
      <c r="H892" s="8"/>
      <c r="I892" s="9"/>
      <c r="J892" s="9"/>
      <c r="K892" s="1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7"/>
      <c r="B893" s="8"/>
      <c r="C893" s="8"/>
      <c r="D893" s="8"/>
      <c r="E893" s="8"/>
      <c r="F893" s="8"/>
      <c r="G893" s="8"/>
      <c r="H893" s="8"/>
      <c r="I893" s="9"/>
      <c r="J893" s="9"/>
      <c r="K893" s="1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7"/>
      <c r="B894" s="8"/>
      <c r="C894" s="8"/>
      <c r="D894" s="8"/>
      <c r="E894" s="8"/>
      <c r="F894" s="8"/>
      <c r="G894" s="8"/>
      <c r="H894" s="8"/>
      <c r="I894" s="9"/>
      <c r="J894" s="9"/>
      <c r="K894" s="1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7"/>
      <c r="B895" s="8"/>
      <c r="C895" s="8"/>
      <c r="D895" s="8"/>
      <c r="E895" s="8"/>
      <c r="F895" s="8"/>
      <c r="G895" s="8"/>
      <c r="H895" s="8"/>
      <c r="I895" s="9"/>
      <c r="J895" s="9"/>
      <c r="K895" s="1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7"/>
      <c r="B896" s="8"/>
      <c r="C896" s="8"/>
      <c r="D896" s="8"/>
      <c r="E896" s="8"/>
      <c r="F896" s="8"/>
      <c r="G896" s="8"/>
      <c r="H896" s="8"/>
      <c r="I896" s="9"/>
      <c r="J896" s="9"/>
      <c r="K896" s="1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7"/>
      <c r="B897" s="8"/>
      <c r="C897" s="8"/>
      <c r="D897" s="8"/>
      <c r="E897" s="8"/>
      <c r="F897" s="8"/>
      <c r="G897" s="8"/>
      <c r="H897" s="8"/>
      <c r="I897" s="9"/>
      <c r="J897" s="9"/>
      <c r="K897" s="1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7"/>
      <c r="B898" s="8"/>
      <c r="C898" s="8"/>
      <c r="D898" s="8"/>
      <c r="E898" s="8"/>
      <c r="F898" s="8"/>
      <c r="G898" s="8"/>
      <c r="H898" s="8"/>
      <c r="I898" s="9"/>
      <c r="J898" s="9"/>
      <c r="K898" s="1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7"/>
      <c r="B899" s="8"/>
      <c r="C899" s="8"/>
      <c r="D899" s="8"/>
      <c r="E899" s="8"/>
      <c r="F899" s="8"/>
      <c r="G899" s="8"/>
      <c r="H899" s="8"/>
      <c r="I899" s="9"/>
      <c r="J899" s="9"/>
      <c r="K899" s="1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7"/>
      <c r="B900" s="8"/>
      <c r="C900" s="8"/>
      <c r="D900" s="8"/>
      <c r="E900" s="8"/>
      <c r="F900" s="8"/>
      <c r="G900" s="8"/>
      <c r="H900" s="8"/>
      <c r="I900" s="9"/>
      <c r="J900" s="9"/>
      <c r="K900" s="1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7"/>
      <c r="B901" s="8"/>
      <c r="C901" s="8"/>
      <c r="D901" s="8"/>
      <c r="E901" s="8"/>
      <c r="F901" s="8"/>
      <c r="G901" s="8"/>
      <c r="H901" s="8"/>
      <c r="I901" s="9"/>
      <c r="J901" s="9"/>
      <c r="K901" s="1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7"/>
      <c r="B902" s="8"/>
      <c r="C902" s="8"/>
      <c r="D902" s="8"/>
      <c r="E902" s="8"/>
      <c r="F902" s="8"/>
      <c r="G902" s="8"/>
      <c r="H902" s="8"/>
      <c r="I902" s="9"/>
      <c r="J902" s="9"/>
      <c r="K902" s="1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7"/>
      <c r="B903" s="8"/>
      <c r="C903" s="8"/>
      <c r="D903" s="8"/>
      <c r="E903" s="8"/>
      <c r="F903" s="8"/>
      <c r="G903" s="8"/>
      <c r="H903" s="8"/>
      <c r="I903" s="9"/>
      <c r="J903" s="9"/>
      <c r="K903" s="1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7"/>
      <c r="B904" s="8"/>
      <c r="C904" s="8"/>
      <c r="D904" s="8"/>
      <c r="E904" s="8"/>
      <c r="F904" s="8"/>
      <c r="G904" s="8"/>
      <c r="H904" s="8"/>
      <c r="I904" s="9"/>
      <c r="J904" s="9"/>
      <c r="K904" s="1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7"/>
      <c r="B905" s="8"/>
      <c r="C905" s="8"/>
      <c r="D905" s="8"/>
      <c r="E905" s="8"/>
      <c r="F905" s="8"/>
      <c r="G905" s="8"/>
      <c r="H905" s="8"/>
      <c r="I905" s="9"/>
      <c r="J905" s="9"/>
      <c r="K905" s="1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7"/>
      <c r="B906" s="8"/>
      <c r="C906" s="8"/>
      <c r="D906" s="8"/>
      <c r="E906" s="8"/>
      <c r="F906" s="8"/>
      <c r="G906" s="8"/>
      <c r="H906" s="8"/>
      <c r="I906" s="9"/>
      <c r="J906" s="9"/>
      <c r="K906" s="1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7"/>
      <c r="B907" s="8"/>
      <c r="C907" s="8"/>
      <c r="D907" s="8"/>
      <c r="E907" s="8"/>
      <c r="F907" s="8"/>
      <c r="G907" s="8"/>
      <c r="H907" s="8"/>
      <c r="I907" s="9"/>
      <c r="J907" s="9"/>
      <c r="K907" s="1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7"/>
      <c r="B908" s="8"/>
      <c r="C908" s="8"/>
      <c r="D908" s="8"/>
      <c r="E908" s="8"/>
      <c r="F908" s="8"/>
      <c r="G908" s="8"/>
      <c r="H908" s="8"/>
      <c r="I908" s="9"/>
      <c r="J908" s="9"/>
      <c r="K908" s="1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7"/>
      <c r="B909" s="8"/>
      <c r="C909" s="8"/>
      <c r="D909" s="8"/>
      <c r="E909" s="8"/>
      <c r="F909" s="8"/>
      <c r="G909" s="8"/>
      <c r="H909" s="8"/>
      <c r="I909" s="9"/>
      <c r="J909" s="9"/>
      <c r="K909" s="1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7"/>
      <c r="B910" s="8"/>
      <c r="C910" s="8"/>
      <c r="D910" s="8"/>
      <c r="E910" s="8"/>
      <c r="F910" s="8"/>
      <c r="G910" s="8"/>
      <c r="H910" s="8"/>
      <c r="I910" s="9"/>
      <c r="J910" s="9"/>
      <c r="K910" s="1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7"/>
      <c r="B911" s="8"/>
      <c r="C911" s="8"/>
      <c r="D911" s="8"/>
      <c r="E911" s="8"/>
      <c r="F911" s="8"/>
      <c r="G911" s="8"/>
      <c r="H911" s="8"/>
      <c r="I911" s="9"/>
      <c r="J911" s="9"/>
      <c r="K911" s="1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7"/>
      <c r="B912" s="8"/>
      <c r="C912" s="8"/>
      <c r="D912" s="8"/>
      <c r="E912" s="8"/>
      <c r="F912" s="8"/>
      <c r="G912" s="8"/>
      <c r="H912" s="8"/>
      <c r="I912" s="9"/>
      <c r="J912" s="9"/>
      <c r="K912" s="1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7"/>
      <c r="B913" s="8"/>
      <c r="C913" s="8"/>
      <c r="D913" s="8"/>
      <c r="E913" s="8"/>
      <c r="F913" s="8"/>
      <c r="G913" s="8"/>
      <c r="H913" s="8"/>
      <c r="I913" s="9"/>
      <c r="J913" s="9"/>
      <c r="K913" s="1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7"/>
      <c r="B914" s="8"/>
      <c r="C914" s="8"/>
      <c r="D914" s="8"/>
      <c r="E914" s="8"/>
      <c r="F914" s="8"/>
      <c r="G914" s="8"/>
      <c r="H914" s="8"/>
      <c r="I914" s="9"/>
      <c r="J914" s="9"/>
      <c r="K914" s="1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7"/>
      <c r="B915" s="8"/>
      <c r="C915" s="8"/>
      <c r="D915" s="8"/>
      <c r="E915" s="8"/>
      <c r="F915" s="8"/>
      <c r="G915" s="8"/>
      <c r="H915" s="8"/>
      <c r="I915" s="9"/>
      <c r="J915" s="9"/>
      <c r="K915" s="1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7"/>
      <c r="B916" s="8"/>
      <c r="C916" s="8"/>
      <c r="D916" s="8"/>
      <c r="E916" s="8"/>
      <c r="F916" s="8"/>
      <c r="G916" s="8"/>
      <c r="H916" s="8"/>
      <c r="I916" s="9"/>
      <c r="J916" s="9"/>
      <c r="K916" s="1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7"/>
      <c r="B917" s="8"/>
      <c r="C917" s="8"/>
      <c r="D917" s="8"/>
      <c r="E917" s="8"/>
      <c r="F917" s="8"/>
      <c r="G917" s="8"/>
      <c r="H917" s="8"/>
      <c r="I917" s="9"/>
      <c r="J917" s="9"/>
      <c r="K917" s="1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7"/>
      <c r="B918" s="8"/>
      <c r="C918" s="8"/>
      <c r="D918" s="8"/>
      <c r="E918" s="8"/>
      <c r="F918" s="8"/>
      <c r="G918" s="8"/>
      <c r="H918" s="8"/>
      <c r="I918" s="9"/>
      <c r="J918" s="9"/>
      <c r="K918" s="1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7"/>
      <c r="B919" s="8"/>
      <c r="C919" s="8"/>
      <c r="D919" s="8"/>
      <c r="E919" s="8"/>
      <c r="F919" s="8"/>
      <c r="G919" s="8"/>
      <c r="H919" s="8"/>
      <c r="I919" s="9"/>
      <c r="J919" s="9"/>
      <c r="K919" s="1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7"/>
      <c r="B920" s="8"/>
      <c r="C920" s="8"/>
      <c r="D920" s="8"/>
      <c r="E920" s="8"/>
      <c r="F920" s="8"/>
      <c r="G920" s="8"/>
      <c r="H920" s="8"/>
      <c r="I920" s="9"/>
      <c r="J920" s="9"/>
      <c r="K920" s="1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7"/>
      <c r="B921" s="8"/>
      <c r="C921" s="8"/>
      <c r="D921" s="8"/>
      <c r="E921" s="8"/>
      <c r="F921" s="8"/>
      <c r="G921" s="8"/>
      <c r="H921" s="8"/>
      <c r="I921" s="9"/>
      <c r="J921" s="9"/>
      <c r="K921" s="1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7"/>
      <c r="B922" s="8"/>
      <c r="C922" s="8"/>
      <c r="D922" s="8"/>
      <c r="E922" s="8"/>
      <c r="F922" s="8"/>
      <c r="G922" s="8"/>
      <c r="H922" s="8"/>
      <c r="I922" s="9"/>
      <c r="J922" s="9"/>
      <c r="K922" s="1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7"/>
      <c r="B923" s="8"/>
      <c r="C923" s="8"/>
      <c r="D923" s="8"/>
      <c r="E923" s="8"/>
      <c r="F923" s="8"/>
      <c r="G923" s="8"/>
      <c r="H923" s="8"/>
      <c r="I923" s="9"/>
      <c r="J923" s="9"/>
      <c r="K923" s="1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7"/>
      <c r="B924" s="8"/>
      <c r="C924" s="8"/>
      <c r="D924" s="8"/>
      <c r="E924" s="8"/>
      <c r="F924" s="8"/>
      <c r="G924" s="8"/>
      <c r="H924" s="8"/>
      <c r="I924" s="9"/>
      <c r="J924" s="9"/>
      <c r="K924" s="1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7"/>
      <c r="B925" s="8"/>
      <c r="C925" s="8"/>
      <c r="D925" s="8"/>
      <c r="E925" s="8"/>
      <c r="F925" s="8"/>
      <c r="G925" s="8"/>
      <c r="H925" s="8"/>
      <c r="I925" s="9"/>
      <c r="J925" s="9"/>
      <c r="K925" s="1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7"/>
      <c r="B926" s="8"/>
      <c r="C926" s="8"/>
      <c r="D926" s="8"/>
      <c r="E926" s="8"/>
      <c r="F926" s="8"/>
      <c r="G926" s="8"/>
      <c r="H926" s="8"/>
      <c r="I926" s="9"/>
      <c r="J926" s="9"/>
      <c r="K926" s="1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7"/>
      <c r="B927" s="8"/>
      <c r="C927" s="8"/>
      <c r="D927" s="8"/>
      <c r="E927" s="8"/>
      <c r="F927" s="8"/>
      <c r="G927" s="8"/>
      <c r="H927" s="8"/>
      <c r="I927" s="9"/>
      <c r="J927" s="9"/>
      <c r="K927" s="1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7"/>
      <c r="B928" s="8"/>
      <c r="C928" s="8"/>
      <c r="D928" s="8"/>
      <c r="E928" s="8"/>
      <c r="F928" s="8"/>
      <c r="G928" s="8"/>
      <c r="H928" s="8"/>
      <c r="I928" s="9"/>
      <c r="J928" s="9"/>
      <c r="K928" s="1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7"/>
      <c r="B929" s="8"/>
      <c r="C929" s="8"/>
      <c r="D929" s="8"/>
      <c r="E929" s="8"/>
      <c r="F929" s="8"/>
      <c r="G929" s="8"/>
      <c r="H929" s="8"/>
      <c r="I929" s="9"/>
      <c r="J929" s="9"/>
      <c r="K929" s="1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7"/>
      <c r="B930" s="8"/>
      <c r="C930" s="8"/>
      <c r="D930" s="8"/>
      <c r="E930" s="8"/>
      <c r="F930" s="8"/>
      <c r="G930" s="8"/>
      <c r="H930" s="8"/>
      <c r="I930" s="9"/>
      <c r="J930" s="9"/>
      <c r="K930" s="1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7"/>
      <c r="B931" s="8"/>
      <c r="C931" s="8"/>
      <c r="D931" s="8"/>
      <c r="E931" s="8"/>
      <c r="F931" s="8"/>
      <c r="G931" s="8"/>
      <c r="H931" s="8"/>
      <c r="I931" s="9"/>
      <c r="J931" s="9"/>
      <c r="K931" s="1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7"/>
      <c r="B932" s="8"/>
      <c r="C932" s="8"/>
      <c r="D932" s="8"/>
      <c r="E932" s="8"/>
      <c r="F932" s="8"/>
      <c r="G932" s="8"/>
      <c r="H932" s="8"/>
      <c r="I932" s="9"/>
      <c r="J932" s="9"/>
      <c r="K932" s="1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7"/>
      <c r="B933" s="8"/>
      <c r="C933" s="8"/>
      <c r="D933" s="8"/>
      <c r="E933" s="8"/>
      <c r="F933" s="8"/>
      <c r="G933" s="8"/>
      <c r="H933" s="8"/>
      <c r="I933" s="9"/>
      <c r="J933" s="9"/>
      <c r="K933" s="1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7"/>
      <c r="B934" s="8"/>
      <c r="C934" s="8"/>
      <c r="D934" s="8"/>
      <c r="E934" s="8"/>
      <c r="F934" s="8"/>
      <c r="G934" s="8"/>
      <c r="H934" s="8"/>
      <c r="I934" s="9"/>
      <c r="J934" s="9"/>
      <c r="K934" s="1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7"/>
      <c r="B935" s="8"/>
      <c r="C935" s="8"/>
      <c r="D935" s="8"/>
      <c r="E935" s="8"/>
      <c r="F935" s="8"/>
      <c r="G935" s="8"/>
      <c r="H935" s="8"/>
      <c r="I935" s="9"/>
      <c r="J935" s="9"/>
      <c r="K935" s="1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7"/>
      <c r="B936" s="8"/>
      <c r="C936" s="8"/>
      <c r="D936" s="8"/>
      <c r="E936" s="8"/>
      <c r="F936" s="8"/>
      <c r="G936" s="8"/>
      <c r="H936" s="8"/>
      <c r="I936" s="9"/>
      <c r="J936" s="9"/>
      <c r="K936" s="1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7"/>
      <c r="B937" s="8"/>
      <c r="C937" s="8"/>
      <c r="D937" s="8"/>
      <c r="E937" s="8"/>
      <c r="F937" s="8"/>
      <c r="G937" s="8"/>
      <c r="H937" s="8"/>
      <c r="I937" s="9"/>
      <c r="J937" s="9"/>
      <c r="K937" s="1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7"/>
      <c r="B938" s="8"/>
      <c r="C938" s="8"/>
      <c r="D938" s="8"/>
      <c r="E938" s="8"/>
      <c r="F938" s="8"/>
      <c r="G938" s="8"/>
      <c r="H938" s="8"/>
      <c r="I938" s="9"/>
      <c r="J938" s="9"/>
      <c r="K938" s="1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7"/>
      <c r="B939" s="8"/>
      <c r="C939" s="8"/>
      <c r="D939" s="8"/>
      <c r="E939" s="8"/>
      <c r="F939" s="8"/>
      <c r="G939" s="8"/>
      <c r="H939" s="8"/>
      <c r="I939" s="9"/>
      <c r="J939" s="9"/>
      <c r="K939" s="1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7"/>
      <c r="B940" s="8"/>
      <c r="C940" s="8"/>
      <c r="D940" s="8"/>
      <c r="E940" s="8"/>
      <c r="F940" s="8"/>
      <c r="G940" s="8"/>
      <c r="H940" s="8"/>
      <c r="I940" s="9"/>
      <c r="J940" s="9"/>
      <c r="K940" s="1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7"/>
      <c r="B941" s="8"/>
      <c r="C941" s="8"/>
      <c r="D941" s="8"/>
      <c r="E941" s="8"/>
      <c r="F941" s="8"/>
      <c r="G941" s="8"/>
      <c r="H941" s="8"/>
      <c r="I941" s="9"/>
      <c r="J941" s="9"/>
      <c r="K941" s="1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7"/>
      <c r="B942" s="8"/>
      <c r="C942" s="8"/>
      <c r="D942" s="8"/>
      <c r="E942" s="8"/>
      <c r="F942" s="8"/>
      <c r="G942" s="8"/>
      <c r="H942" s="8"/>
      <c r="I942" s="9"/>
      <c r="J942" s="9"/>
      <c r="K942" s="1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7"/>
      <c r="B943" s="8"/>
      <c r="C943" s="8"/>
      <c r="D943" s="8"/>
      <c r="E943" s="8"/>
      <c r="F943" s="8"/>
      <c r="G943" s="8"/>
      <c r="H943" s="8"/>
      <c r="I943" s="9"/>
      <c r="J943" s="9"/>
      <c r="K943" s="1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7"/>
      <c r="B944" s="8"/>
      <c r="C944" s="8"/>
      <c r="D944" s="8"/>
      <c r="E944" s="8"/>
      <c r="F944" s="8"/>
      <c r="G944" s="8"/>
      <c r="H944" s="8"/>
      <c r="I944" s="9"/>
      <c r="J944" s="9"/>
      <c r="K944" s="1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7"/>
      <c r="B945" s="8"/>
      <c r="C945" s="8"/>
      <c r="D945" s="8"/>
      <c r="E945" s="8"/>
      <c r="F945" s="8"/>
      <c r="G945" s="8"/>
      <c r="H945" s="8"/>
      <c r="I945" s="9"/>
      <c r="J945" s="9"/>
      <c r="K945" s="1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7"/>
      <c r="B946" s="8"/>
      <c r="C946" s="8"/>
      <c r="D946" s="8"/>
      <c r="E946" s="8"/>
      <c r="F946" s="8"/>
      <c r="G946" s="8"/>
      <c r="H946" s="8"/>
      <c r="I946" s="9"/>
      <c r="J946" s="9"/>
      <c r="K946" s="1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7"/>
      <c r="B947" s="8"/>
      <c r="C947" s="8"/>
      <c r="D947" s="8"/>
      <c r="E947" s="8"/>
      <c r="F947" s="8"/>
      <c r="G947" s="8"/>
      <c r="H947" s="8"/>
      <c r="I947" s="9"/>
      <c r="J947" s="9"/>
      <c r="K947" s="1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7"/>
      <c r="B948" s="8"/>
      <c r="C948" s="8"/>
      <c r="D948" s="8"/>
      <c r="E948" s="8"/>
      <c r="F948" s="8"/>
      <c r="G948" s="8"/>
      <c r="H948" s="8"/>
      <c r="I948" s="9"/>
      <c r="J948" s="9"/>
      <c r="K948" s="1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7"/>
      <c r="B949" s="8"/>
      <c r="C949" s="8"/>
      <c r="D949" s="8"/>
      <c r="E949" s="8"/>
      <c r="F949" s="8"/>
      <c r="G949" s="8"/>
      <c r="H949" s="8"/>
      <c r="I949" s="9"/>
      <c r="J949" s="9"/>
      <c r="K949" s="1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7"/>
      <c r="B950" s="8"/>
      <c r="C950" s="8"/>
      <c r="D950" s="8"/>
      <c r="E950" s="8"/>
      <c r="F950" s="8"/>
      <c r="G950" s="8"/>
      <c r="H950" s="8"/>
      <c r="I950" s="9"/>
      <c r="J950" s="9"/>
      <c r="K950" s="1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7"/>
      <c r="B951" s="8"/>
      <c r="C951" s="8"/>
      <c r="D951" s="8"/>
      <c r="E951" s="8"/>
      <c r="F951" s="8"/>
      <c r="G951" s="8"/>
      <c r="H951" s="8"/>
      <c r="I951" s="9"/>
      <c r="J951" s="9"/>
      <c r="K951" s="1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7"/>
      <c r="B952" s="8"/>
      <c r="C952" s="8"/>
      <c r="D952" s="8"/>
      <c r="E952" s="8"/>
      <c r="F952" s="8"/>
      <c r="G952" s="8"/>
      <c r="H952" s="8"/>
      <c r="I952" s="9"/>
      <c r="J952" s="9"/>
      <c r="K952" s="1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7"/>
      <c r="B953" s="8"/>
      <c r="C953" s="8"/>
      <c r="D953" s="8"/>
      <c r="E953" s="8"/>
      <c r="F953" s="8"/>
      <c r="G953" s="8"/>
      <c r="H953" s="8"/>
      <c r="I953" s="9"/>
      <c r="J953" s="9"/>
      <c r="K953" s="1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7"/>
      <c r="B954" s="8"/>
      <c r="C954" s="8"/>
      <c r="D954" s="8"/>
      <c r="E954" s="8"/>
      <c r="F954" s="8"/>
      <c r="G954" s="8"/>
      <c r="H954" s="8"/>
      <c r="I954" s="9"/>
      <c r="J954" s="9"/>
      <c r="K954" s="1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7"/>
      <c r="B955" s="8"/>
      <c r="C955" s="8"/>
      <c r="D955" s="8"/>
      <c r="E955" s="8"/>
      <c r="F955" s="8"/>
      <c r="G955" s="8"/>
      <c r="H955" s="8"/>
      <c r="I955" s="9"/>
      <c r="J955" s="9"/>
      <c r="K955" s="1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7"/>
      <c r="B956" s="8"/>
      <c r="C956" s="8"/>
      <c r="D956" s="8"/>
      <c r="E956" s="8"/>
      <c r="F956" s="8"/>
      <c r="G956" s="8"/>
      <c r="H956" s="8"/>
      <c r="I956" s="9"/>
      <c r="J956" s="9"/>
      <c r="K956" s="1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7"/>
      <c r="B957" s="8"/>
      <c r="C957" s="8"/>
      <c r="D957" s="8"/>
      <c r="E957" s="8"/>
      <c r="F957" s="8"/>
      <c r="G957" s="8"/>
      <c r="H957" s="8"/>
      <c r="I957" s="9"/>
      <c r="J957" s="9"/>
      <c r="K957" s="1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7"/>
      <c r="B958" s="8"/>
      <c r="C958" s="8"/>
      <c r="D958" s="8"/>
      <c r="E958" s="8"/>
      <c r="F958" s="8"/>
      <c r="G958" s="8"/>
      <c r="H958" s="8"/>
      <c r="I958" s="9"/>
      <c r="J958" s="9"/>
      <c r="K958" s="1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7"/>
      <c r="B959" s="8"/>
      <c r="C959" s="8"/>
      <c r="D959" s="8"/>
      <c r="E959" s="8"/>
      <c r="F959" s="8"/>
      <c r="G959" s="8"/>
      <c r="H959" s="8"/>
      <c r="I959" s="9"/>
      <c r="J959" s="9"/>
      <c r="K959" s="1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7"/>
      <c r="B960" s="8"/>
      <c r="C960" s="8"/>
      <c r="D960" s="8"/>
      <c r="E960" s="8"/>
      <c r="F960" s="8"/>
      <c r="G960" s="8"/>
      <c r="H960" s="8"/>
      <c r="I960" s="9"/>
      <c r="J960" s="9"/>
      <c r="K960" s="1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7"/>
      <c r="B961" s="8"/>
      <c r="C961" s="8"/>
      <c r="D961" s="8"/>
      <c r="E961" s="8"/>
      <c r="F961" s="8"/>
      <c r="G961" s="8"/>
      <c r="H961" s="8"/>
      <c r="I961" s="9"/>
      <c r="J961" s="9"/>
      <c r="K961" s="1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7"/>
      <c r="B962" s="8"/>
      <c r="C962" s="8"/>
      <c r="D962" s="8"/>
      <c r="E962" s="8"/>
      <c r="F962" s="8"/>
      <c r="G962" s="8"/>
      <c r="H962" s="8"/>
      <c r="I962" s="9"/>
      <c r="J962" s="9"/>
      <c r="K962" s="1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7"/>
      <c r="B963" s="8"/>
      <c r="C963" s="8"/>
      <c r="D963" s="8"/>
      <c r="E963" s="8"/>
      <c r="F963" s="8"/>
      <c r="G963" s="8"/>
      <c r="H963" s="8"/>
      <c r="I963" s="9"/>
      <c r="J963" s="9"/>
      <c r="K963" s="1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7"/>
      <c r="B964" s="8"/>
      <c r="C964" s="8"/>
      <c r="D964" s="8"/>
      <c r="E964" s="8"/>
      <c r="F964" s="8"/>
      <c r="G964" s="8"/>
      <c r="H964" s="8"/>
      <c r="I964" s="9"/>
      <c r="J964" s="9"/>
      <c r="K964" s="1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7"/>
      <c r="B965" s="8"/>
      <c r="C965" s="8"/>
      <c r="D965" s="8"/>
      <c r="E965" s="8"/>
      <c r="F965" s="8"/>
      <c r="G965" s="8"/>
      <c r="H965" s="8"/>
      <c r="I965" s="9"/>
      <c r="J965" s="9"/>
      <c r="K965" s="1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7"/>
      <c r="B966" s="8"/>
      <c r="C966" s="8"/>
      <c r="D966" s="8"/>
      <c r="E966" s="8"/>
      <c r="F966" s="8"/>
      <c r="G966" s="8"/>
      <c r="H966" s="8"/>
      <c r="I966" s="9"/>
      <c r="J966" s="9"/>
      <c r="K966" s="1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7"/>
      <c r="B967" s="8"/>
      <c r="C967" s="8"/>
      <c r="D967" s="8"/>
      <c r="E967" s="8"/>
      <c r="F967" s="8"/>
      <c r="G967" s="8"/>
      <c r="H967" s="8"/>
      <c r="I967" s="9"/>
      <c r="J967" s="9"/>
      <c r="K967" s="1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7"/>
      <c r="B968" s="8"/>
      <c r="C968" s="8"/>
      <c r="D968" s="8"/>
      <c r="E968" s="8"/>
      <c r="F968" s="8"/>
      <c r="G968" s="8"/>
      <c r="H968" s="8"/>
      <c r="I968" s="9"/>
      <c r="J968" s="9"/>
      <c r="K968" s="1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7"/>
      <c r="B969" s="8"/>
      <c r="C969" s="8"/>
      <c r="D969" s="8"/>
      <c r="E969" s="8"/>
      <c r="F969" s="8"/>
      <c r="G969" s="8"/>
      <c r="H969" s="8"/>
      <c r="I969" s="9"/>
      <c r="J969" s="9"/>
      <c r="K969" s="1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7"/>
      <c r="B970" s="8"/>
      <c r="C970" s="8"/>
      <c r="D970" s="8"/>
      <c r="E970" s="8"/>
      <c r="F970" s="8"/>
      <c r="G970" s="8"/>
      <c r="H970" s="8"/>
      <c r="I970" s="9"/>
      <c r="J970" s="9"/>
      <c r="K970" s="1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7"/>
      <c r="B971" s="8"/>
      <c r="C971" s="8"/>
      <c r="D971" s="8"/>
      <c r="E971" s="8"/>
      <c r="F971" s="8"/>
      <c r="G971" s="8"/>
      <c r="H971" s="8"/>
      <c r="I971" s="9"/>
      <c r="J971" s="9"/>
      <c r="K971" s="1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7"/>
      <c r="B972" s="8"/>
      <c r="C972" s="8"/>
      <c r="D972" s="8"/>
      <c r="E972" s="8"/>
      <c r="F972" s="8"/>
      <c r="G972" s="8"/>
      <c r="H972" s="8"/>
      <c r="I972" s="9"/>
      <c r="J972" s="9"/>
      <c r="K972" s="1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7"/>
      <c r="B973" s="8"/>
      <c r="C973" s="8"/>
      <c r="D973" s="8"/>
      <c r="E973" s="8"/>
      <c r="F973" s="8"/>
      <c r="G973" s="8"/>
      <c r="H973" s="8"/>
      <c r="I973" s="9"/>
      <c r="J973" s="9"/>
      <c r="K973" s="1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7"/>
      <c r="B974" s="8"/>
      <c r="C974" s="8"/>
      <c r="D974" s="8"/>
      <c r="E974" s="8"/>
      <c r="F974" s="8"/>
      <c r="G974" s="8"/>
      <c r="H974" s="8"/>
      <c r="I974" s="9"/>
      <c r="J974" s="9"/>
      <c r="K974" s="1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7"/>
      <c r="B975" s="8"/>
      <c r="C975" s="8"/>
      <c r="D975" s="8"/>
      <c r="E975" s="8"/>
      <c r="F975" s="8"/>
      <c r="G975" s="8"/>
      <c r="H975" s="8"/>
      <c r="I975" s="9"/>
      <c r="J975" s="9"/>
      <c r="K975" s="1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7"/>
      <c r="B976" s="8"/>
      <c r="C976" s="8"/>
      <c r="D976" s="8"/>
      <c r="E976" s="8"/>
      <c r="F976" s="8"/>
      <c r="G976" s="8"/>
      <c r="H976" s="8"/>
      <c r="I976" s="9"/>
      <c r="J976" s="9"/>
      <c r="K976" s="1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7"/>
      <c r="B977" s="8"/>
      <c r="C977" s="8"/>
      <c r="D977" s="8"/>
      <c r="E977" s="8"/>
      <c r="F977" s="8"/>
      <c r="G977" s="8"/>
      <c r="H977" s="8"/>
      <c r="I977" s="9"/>
      <c r="J977" s="9"/>
      <c r="K977" s="1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7"/>
      <c r="B978" s="8"/>
      <c r="C978" s="8"/>
      <c r="D978" s="8"/>
      <c r="E978" s="8"/>
      <c r="F978" s="8"/>
      <c r="G978" s="8"/>
      <c r="H978" s="8"/>
      <c r="I978" s="9"/>
      <c r="J978" s="9"/>
      <c r="K978" s="1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7"/>
      <c r="B979" s="8"/>
      <c r="C979" s="8"/>
      <c r="D979" s="8"/>
      <c r="E979" s="8"/>
      <c r="F979" s="8"/>
      <c r="G979" s="8"/>
      <c r="H979" s="8"/>
      <c r="I979" s="9"/>
      <c r="J979" s="9"/>
      <c r="K979" s="1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7"/>
      <c r="B980" s="8"/>
      <c r="C980" s="8"/>
      <c r="D980" s="8"/>
      <c r="E980" s="8"/>
      <c r="F980" s="8"/>
      <c r="G980" s="8"/>
      <c r="H980" s="8"/>
      <c r="I980" s="9"/>
      <c r="J980" s="9"/>
      <c r="K980" s="1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7"/>
      <c r="B981" s="8"/>
      <c r="C981" s="8"/>
      <c r="D981" s="8"/>
      <c r="E981" s="8"/>
      <c r="F981" s="8"/>
      <c r="G981" s="8"/>
      <c r="H981" s="8"/>
      <c r="I981" s="9"/>
      <c r="J981" s="9"/>
      <c r="K981" s="1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7"/>
      <c r="B982" s="8"/>
      <c r="C982" s="8"/>
      <c r="D982" s="8"/>
      <c r="E982" s="8"/>
      <c r="F982" s="8"/>
      <c r="G982" s="8"/>
      <c r="H982" s="8"/>
      <c r="I982" s="9"/>
      <c r="J982" s="9"/>
      <c r="K982" s="1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7"/>
      <c r="B983" s="8"/>
      <c r="C983" s="8"/>
      <c r="D983" s="8"/>
      <c r="E983" s="8"/>
      <c r="F983" s="8"/>
      <c r="G983" s="8"/>
      <c r="H983" s="8"/>
      <c r="I983" s="9"/>
      <c r="J983" s="9"/>
      <c r="K983" s="1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7"/>
      <c r="B984" s="8"/>
      <c r="C984" s="8"/>
      <c r="D984" s="8"/>
      <c r="E984" s="8"/>
      <c r="F984" s="8"/>
      <c r="G984" s="8"/>
      <c r="H984" s="8"/>
      <c r="I984" s="9"/>
      <c r="J984" s="9"/>
      <c r="K984" s="1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7"/>
      <c r="B985" s="8"/>
      <c r="C985" s="8"/>
      <c r="D985" s="8"/>
      <c r="E985" s="8"/>
      <c r="F985" s="8"/>
      <c r="G985" s="8"/>
      <c r="H985" s="8"/>
      <c r="I985" s="9"/>
      <c r="J985" s="9"/>
      <c r="K985" s="1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7"/>
      <c r="B986" s="8"/>
      <c r="C986" s="8"/>
      <c r="D986" s="8"/>
      <c r="E986" s="8"/>
      <c r="F986" s="8"/>
      <c r="G986" s="8"/>
      <c r="H986" s="8"/>
      <c r="I986" s="9"/>
      <c r="J986" s="9"/>
      <c r="K986" s="1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7"/>
      <c r="B987" s="8"/>
      <c r="C987" s="8"/>
      <c r="D987" s="8"/>
      <c r="E987" s="8"/>
      <c r="F987" s="8"/>
      <c r="G987" s="8"/>
      <c r="H987" s="8"/>
      <c r="I987" s="9"/>
      <c r="J987" s="9"/>
      <c r="K987" s="1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7"/>
      <c r="B988" s="8"/>
      <c r="C988" s="8"/>
      <c r="D988" s="8"/>
      <c r="E988" s="8"/>
      <c r="F988" s="8"/>
      <c r="G988" s="8"/>
      <c r="H988" s="8"/>
      <c r="I988" s="9"/>
      <c r="J988" s="9"/>
      <c r="K988" s="1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7"/>
      <c r="B989" s="8"/>
      <c r="C989" s="8"/>
      <c r="D989" s="8"/>
      <c r="E989" s="8"/>
      <c r="F989" s="8"/>
      <c r="G989" s="8"/>
      <c r="H989" s="8"/>
      <c r="I989" s="9"/>
      <c r="J989" s="9"/>
      <c r="K989" s="1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7"/>
      <c r="B990" s="8"/>
      <c r="C990" s="8"/>
      <c r="D990" s="8"/>
      <c r="E990" s="8"/>
      <c r="F990" s="8"/>
      <c r="G990" s="8"/>
      <c r="H990" s="8"/>
      <c r="I990" s="9"/>
      <c r="J990" s="9"/>
      <c r="K990" s="1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7"/>
      <c r="B991" s="8"/>
      <c r="C991" s="8"/>
      <c r="D991" s="8"/>
      <c r="E991" s="8"/>
      <c r="F991" s="8"/>
      <c r="G991" s="8"/>
      <c r="H991" s="8"/>
      <c r="I991" s="9"/>
      <c r="J991" s="9"/>
      <c r="K991" s="1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7"/>
      <c r="B992" s="8"/>
      <c r="C992" s="8"/>
      <c r="D992" s="8"/>
      <c r="E992" s="8"/>
      <c r="F992" s="8"/>
      <c r="G992" s="8"/>
      <c r="H992" s="8"/>
      <c r="I992" s="9"/>
      <c r="J992" s="9"/>
      <c r="K992" s="1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7"/>
      <c r="B993" s="8"/>
      <c r="C993" s="8"/>
      <c r="D993" s="8"/>
      <c r="E993" s="8"/>
      <c r="F993" s="8"/>
      <c r="G993" s="8"/>
      <c r="H993" s="8"/>
      <c r="I993" s="9"/>
      <c r="J993" s="9"/>
      <c r="K993" s="1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7"/>
      <c r="B994" s="8"/>
      <c r="C994" s="8"/>
      <c r="D994" s="8"/>
      <c r="E994" s="8"/>
      <c r="F994" s="8"/>
      <c r="G994" s="8"/>
      <c r="H994" s="8"/>
      <c r="I994" s="9"/>
      <c r="J994" s="9"/>
      <c r="K994" s="1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7"/>
      <c r="B995" s="8"/>
      <c r="C995" s="8"/>
      <c r="D995" s="8"/>
      <c r="E995" s="8"/>
      <c r="F995" s="8"/>
      <c r="G995" s="8"/>
      <c r="H995" s="8"/>
      <c r="I995" s="9"/>
      <c r="J995" s="9"/>
      <c r="K995" s="1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7"/>
      <c r="B996" s="8"/>
      <c r="C996" s="8"/>
      <c r="D996" s="8"/>
      <c r="E996" s="8"/>
      <c r="F996" s="8"/>
      <c r="G996" s="8"/>
      <c r="H996" s="8"/>
      <c r="I996" s="9"/>
      <c r="J996" s="9"/>
      <c r="K996" s="1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7"/>
      <c r="B997" s="8"/>
      <c r="C997" s="8"/>
      <c r="D997" s="8"/>
      <c r="E997" s="8"/>
      <c r="F997" s="8"/>
      <c r="G997" s="8"/>
      <c r="H997" s="8"/>
      <c r="I997" s="9"/>
      <c r="J997" s="9"/>
      <c r="K997" s="1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7"/>
      <c r="B998" s="8"/>
      <c r="C998" s="8"/>
      <c r="D998" s="8"/>
      <c r="E998" s="8"/>
      <c r="F998" s="8"/>
      <c r="G998" s="8"/>
      <c r="H998" s="8"/>
      <c r="I998" s="9"/>
      <c r="J998" s="9"/>
      <c r="K998" s="1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7"/>
      <c r="B999" s="8"/>
      <c r="C999" s="8"/>
      <c r="D999" s="8"/>
      <c r="E999" s="8"/>
      <c r="F999" s="8"/>
      <c r="G999" s="8"/>
      <c r="H999" s="8"/>
      <c r="I999" s="9"/>
      <c r="J999" s="9"/>
      <c r="K999" s="1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7"/>
      <c r="B1000" s="8"/>
      <c r="C1000" s="8"/>
      <c r="D1000" s="8"/>
      <c r="E1000" s="8"/>
      <c r="F1000" s="8"/>
      <c r="G1000" s="8"/>
      <c r="H1000" s="8"/>
      <c r="I1000" s="9"/>
      <c r="J1000" s="9"/>
      <c r="K1000" s="1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7"/>
      <c r="B1001" s="8"/>
      <c r="C1001" s="8"/>
      <c r="D1001" s="8"/>
      <c r="E1001" s="8"/>
      <c r="F1001" s="8"/>
      <c r="G1001" s="8"/>
      <c r="H1001" s="8"/>
      <c r="I1001" s="9"/>
      <c r="J1001" s="9"/>
      <c r="K1001" s="18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7"/>
      <c r="B1002" s="8"/>
      <c r="C1002" s="8"/>
      <c r="D1002" s="8"/>
      <c r="E1002" s="8"/>
      <c r="F1002" s="8"/>
      <c r="G1002" s="8"/>
      <c r="H1002" s="8"/>
      <c r="I1002" s="9"/>
      <c r="J1002" s="9"/>
      <c r="K1002" s="18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7"/>
      <c r="B1003" s="8"/>
      <c r="C1003" s="8"/>
      <c r="D1003" s="8"/>
      <c r="E1003" s="8"/>
      <c r="F1003" s="8"/>
      <c r="G1003" s="8"/>
      <c r="H1003" s="8"/>
      <c r="I1003" s="9"/>
      <c r="J1003" s="9"/>
      <c r="K1003" s="1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7"/>
      <c r="B1004" s="8"/>
      <c r="C1004" s="8"/>
      <c r="D1004" s="8"/>
      <c r="E1004" s="8"/>
      <c r="F1004" s="8"/>
      <c r="G1004" s="8"/>
      <c r="H1004" s="8"/>
      <c r="I1004" s="9"/>
      <c r="J1004" s="9"/>
      <c r="K1004" s="1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7"/>
      <c r="B1005" s="8"/>
      <c r="C1005" s="8"/>
      <c r="D1005" s="8"/>
      <c r="E1005" s="8"/>
      <c r="F1005" s="8"/>
      <c r="G1005" s="8"/>
      <c r="H1005" s="8"/>
      <c r="I1005" s="9"/>
      <c r="J1005" s="9"/>
      <c r="K1005" s="1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7"/>
      <c r="B1006" s="8"/>
      <c r="C1006" s="8"/>
      <c r="D1006" s="8"/>
      <c r="E1006" s="8"/>
      <c r="F1006" s="8"/>
      <c r="G1006" s="8"/>
      <c r="H1006" s="8"/>
      <c r="I1006" s="9"/>
      <c r="J1006" s="9"/>
      <c r="K1006" s="1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7"/>
      <c r="B1007" s="8"/>
      <c r="C1007" s="8"/>
      <c r="D1007" s="8"/>
      <c r="E1007" s="8"/>
      <c r="F1007" s="8"/>
      <c r="G1007" s="8"/>
      <c r="H1007" s="8"/>
      <c r="I1007" s="9"/>
      <c r="J1007" s="9"/>
      <c r="K1007" s="1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7"/>
      <c r="B1008" s="8"/>
      <c r="C1008" s="8"/>
      <c r="D1008" s="8"/>
      <c r="E1008" s="8"/>
      <c r="F1008" s="8"/>
      <c r="G1008" s="8"/>
      <c r="H1008" s="8"/>
      <c r="I1008" s="9"/>
      <c r="J1008" s="9"/>
      <c r="K1008" s="1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7"/>
      <c r="B1009" s="8"/>
      <c r="C1009" s="8"/>
      <c r="D1009" s="8"/>
      <c r="E1009" s="8"/>
      <c r="F1009" s="8"/>
      <c r="G1009" s="8"/>
      <c r="H1009" s="8"/>
      <c r="I1009" s="9"/>
      <c r="J1009" s="9"/>
      <c r="K1009" s="1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7"/>
      <c r="B1010" s="8"/>
      <c r="C1010" s="8"/>
      <c r="D1010" s="8"/>
      <c r="E1010" s="8"/>
      <c r="F1010" s="8"/>
      <c r="G1010" s="8"/>
      <c r="H1010" s="8"/>
      <c r="I1010" s="9"/>
      <c r="J1010" s="9"/>
      <c r="K1010" s="1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7"/>
      <c r="B1011" s="8"/>
      <c r="C1011" s="8"/>
      <c r="D1011" s="8"/>
      <c r="E1011" s="8"/>
      <c r="F1011" s="8"/>
      <c r="G1011" s="8"/>
      <c r="H1011" s="8"/>
      <c r="I1011" s="9"/>
      <c r="J1011" s="9"/>
      <c r="K1011" s="1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7"/>
      <c r="B1012" s="8"/>
      <c r="C1012" s="8"/>
      <c r="D1012" s="8"/>
      <c r="E1012" s="8"/>
      <c r="F1012" s="8"/>
      <c r="G1012" s="8"/>
      <c r="H1012" s="8"/>
      <c r="I1012" s="9"/>
      <c r="J1012" s="9"/>
      <c r="K1012" s="1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7"/>
      <c r="B1013" s="8"/>
      <c r="C1013" s="8"/>
      <c r="D1013" s="8"/>
      <c r="E1013" s="8"/>
      <c r="F1013" s="8"/>
      <c r="G1013" s="8"/>
      <c r="H1013" s="8"/>
      <c r="I1013" s="9"/>
      <c r="J1013" s="9"/>
      <c r="K1013" s="1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7"/>
      <c r="B1014" s="8"/>
      <c r="C1014" s="8"/>
      <c r="D1014" s="8"/>
      <c r="E1014" s="8"/>
      <c r="F1014" s="8"/>
      <c r="G1014" s="8"/>
      <c r="H1014" s="8"/>
      <c r="I1014" s="9"/>
      <c r="J1014" s="9"/>
      <c r="K1014" s="1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7"/>
      <c r="B1015" s="8"/>
      <c r="C1015" s="8"/>
      <c r="D1015" s="8"/>
      <c r="E1015" s="8"/>
      <c r="F1015" s="8"/>
      <c r="G1015" s="8"/>
      <c r="H1015" s="8"/>
      <c r="I1015" s="9"/>
      <c r="J1015" s="9"/>
      <c r="K1015" s="1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7"/>
      <c r="B1016" s="8"/>
      <c r="C1016" s="8"/>
      <c r="D1016" s="8"/>
      <c r="E1016" s="8"/>
      <c r="F1016" s="8"/>
      <c r="G1016" s="8"/>
      <c r="H1016" s="8"/>
      <c r="I1016" s="9"/>
      <c r="J1016" s="9"/>
      <c r="K1016" s="1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7"/>
      <c r="B1017" s="8"/>
      <c r="C1017" s="8"/>
      <c r="D1017" s="8"/>
      <c r="E1017" s="8"/>
      <c r="F1017" s="8"/>
      <c r="G1017" s="8"/>
      <c r="H1017" s="8"/>
      <c r="I1017" s="9"/>
      <c r="J1017" s="9"/>
      <c r="K1017" s="1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7"/>
      <c r="B1018" s="8"/>
      <c r="C1018" s="8"/>
      <c r="D1018" s="8"/>
      <c r="E1018" s="8"/>
      <c r="F1018" s="8"/>
      <c r="G1018" s="8"/>
      <c r="H1018" s="8"/>
      <c r="I1018" s="9"/>
      <c r="J1018" s="9"/>
      <c r="K1018" s="1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7"/>
      <c r="B1019" s="8"/>
      <c r="C1019" s="8"/>
      <c r="D1019" s="8"/>
      <c r="E1019" s="8"/>
      <c r="F1019" s="8"/>
      <c r="G1019" s="8"/>
      <c r="H1019" s="8"/>
      <c r="I1019" s="9"/>
      <c r="J1019" s="9"/>
      <c r="K1019" s="18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7"/>
      <c r="B1020" s="8"/>
      <c r="C1020" s="8"/>
      <c r="D1020" s="8"/>
      <c r="E1020" s="8"/>
      <c r="F1020" s="8"/>
      <c r="G1020" s="8"/>
      <c r="H1020" s="8"/>
      <c r="I1020" s="9"/>
      <c r="J1020" s="9"/>
      <c r="K1020" s="18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7"/>
      <c r="B1021" s="8"/>
      <c r="C1021" s="8"/>
      <c r="D1021" s="8"/>
      <c r="E1021" s="8"/>
      <c r="F1021" s="8"/>
      <c r="G1021" s="8"/>
      <c r="H1021" s="8"/>
      <c r="I1021" s="9"/>
      <c r="J1021" s="9"/>
      <c r="K1021" s="18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7"/>
      <c r="B1022" s="8"/>
      <c r="C1022" s="8"/>
      <c r="D1022" s="8"/>
      <c r="E1022" s="8"/>
      <c r="F1022" s="8"/>
      <c r="G1022" s="8"/>
      <c r="H1022" s="8"/>
      <c r="I1022" s="9"/>
      <c r="J1022" s="9"/>
      <c r="K1022" s="18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7"/>
      <c r="B1023" s="8"/>
      <c r="C1023" s="8"/>
      <c r="D1023" s="8"/>
      <c r="E1023" s="8"/>
      <c r="F1023" s="8"/>
      <c r="G1023" s="8"/>
      <c r="H1023" s="8"/>
      <c r="I1023" s="9"/>
      <c r="J1023" s="9"/>
      <c r="K1023" s="18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7"/>
      <c r="B1024" s="8"/>
      <c r="C1024" s="8"/>
      <c r="D1024" s="8"/>
      <c r="E1024" s="8"/>
      <c r="F1024" s="8"/>
      <c r="G1024" s="8"/>
      <c r="H1024" s="8"/>
      <c r="I1024" s="9"/>
      <c r="J1024" s="9"/>
      <c r="K1024" s="18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7"/>
      <c r="B1025" s="8"/>
      <c r="C1025" s="8"/>
      <c r="D1025" s="8"/>
      <c r="E1025" s="8"/>
      <c r="F1025" s="8"/>
      <c r="G1025" s="8"/>
      <c r="H1025" s="8"/>
      <c r="I1025" s="9"/>
      <c r="J1025" s="9"/>
      <c r="K1025" s="18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7"/>
      <c r="B1026" s="8"/>
      <c r="C1026" s="8"/>
      <c r="D1026" s="8"/>
      <c r="E1026" s="8"/>
      <c r="F1026" s="8"/>
      <c r="G1026" s="8"/>
      <c r="H1026" s="8"/>
      <c r="I1026" s="9"/>
      <c r="J1026" s="9"/>
      <c r="K1026" s="18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7"/>
      <c r="B1027" s="8"/>
      <c r="C1027" s="8"/>
      <c r="D1027" s="8"/>
      <c r="E1027" s="8"/>
      <c r="F1027" s="8"/>
      <c r="G1027" s="8"/>
      <c r="H1027" s="8"/>
      <c r="I1027" s="9"/>
      <c r="J1027" s="9"/>
      <c r="K1027" s="18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7"/>
      <c r="B1028" s="8"/>
      <c r="C1028" s="8"/>
      <c r="D1028" s="8"/>
      <c r="E1028" s="8"/>
      <c r="F1028" s="8"/>
      <c r="G1028" s="8"/>
      <c r="H1028" s="8"/>
      <c r="I1028" s="9"/>
      <c r="J1028" s="9"/>
      <c r="K1028" s="1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7"/>
      <c r="B1029" s="8"/>
      <c r="C1029" s="8"/>
      <c r="D1029" s="8"/>
      <c r="E1029" s="8"/>
      <c r="F1029" s="8"/>
      <c r="G1029" s="8"/>
      <c r="H1029" s="8"/>
      <c r="I1029" s="9"/>
      <c r="J1029" s="9"/>
      <c r="K1029" s="1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7"/>
      <c r="B1030" s="8"/>
      <c r="C1030" s="8"/>
      <c r="D1030" s="8"/>
      <c r="E1030" s="8"/>
      <c r="F1030" s="8"/>
      <c r="G1030" s="8"/>
      <c r="H1030" s="8"/>
      <c r="I1030" s="9"/>
      <c r="J1030" s="9"/>
      <c r="K1030" s="1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7"/>
      <c r="B1031" s="8"/>
      <c r="C1031" s="8"/>
      <c r="D1031" s="8"/>
      <c r="E1031" s="8"/>
      <c r="F1031" s="8"/>
      <c r="G1031" s="8"/>
      <c r="H1031" s="8"/>
      <c r="I1031" s="9"/>
      <c r="J1031" s="9"/>
      <c r="K1031" s="18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7"/>
      <c r="B1032" s="8"/>
      <c r="C1032" s="8"/>
      <c r="D1032" s="8"/>
      <c r="E1032" s="8"/>
      <c r="F1032" s="8"/>
      <c r="G1032" s="8"/>
      <c r="H1032" s="8"/>
      <c r="I1032" s="9"/>
      <c r="J1032" s="9"/>
      <c r="K1032" s="18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7"/>
      <c r="B1033" s="8"/>
      <c r="C1033" s="8"/>
      <c r="D1033" s="8"/>
      <c r="E1033" s="8"/>
      <c r="F1033" s="8"/>
      <c r="G1033" s="8"/>
      <c r="H1033" s="8"/>
      <c r="I1033" s="9"/>
      <c r="J1033" s="9"/>
      <c r="K1033" s="18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7"/>
      <c r="B1034" s="8"/>
      <c r="C1034" s="8"/>
      <c r="D1034" s="8"/>
      <c r="E1034" s="8"/>
      <c r="F1034" s="8"/>
      <c r="G1034" s="8"/>
      <c r="H1034" s="8"/>
      <c r="I1034" s="9"/>
      <c r="J1034" s="9"/>
      <c r="K1034" s="18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7"/>
      <c r="B1035" s="8"/>
      <c r="C1035" s="8"/>
      <c r="D1035" s="8"/>
      <c r="E1035" s="8"/>
      <c r="F1035" s="8"/>
      <c r="G1035" s="8"/>
      <c r="H1035" s="8"/>
      <c r="I1035" s="9"/>
      <c r="J1035" s="9"/>
      <c r="K1035" s="18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7"/>
      <c r="B1036" s="8"/>
      <c r="C1036" s="8"/>
      <c r="D1036" s="8"/>
      <c r="E1036" s="8"/>
      <c r="F1036" s="8"/>
      <c r="G1036" s="8"/>
      <c r="H1036" s="8"/>
      <c r="I1036" s="9"/>
      <c r="J1036" s="9"/>
      <c r="K1036" s="18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7"/>
      <c r="B1037" s="8"/>
      <c r="C1037" s="8"/>
      <c r="D1037" s="8"/>
      <c r="E1037" s="8"/>
      <c r="F1037" s="8"/>
      <c r="G1037" s="8"/>
      <c r="H1037" s="8"/>
      <c r="I1037" s="9"/>
      <c r="J1037" s="9"/>
      <c r="K1037" s="18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7"/>
      <c r="B1038" s="8"/>
      <c r="C1038" s="8"/>
      <c r="D1038" s="8"/>
      <c r="E1038" s="8"/>
      <c r="F1038" s="8"/>
      <c r="G1038" s="8"/>
      <c r="H1038" s="8"/>
      <c r="I1038" s="9"/>
      <c r="J1038" s="9"/>
      <c r="K1038" s="18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7"/>
      <c r="B1039" s="8"/>
      <c r="C1039" s="8"/>
      <c r="D1039" s="8"/>
      <c r="E1039" s="8"/>
      <c r="F1039" s="8"/>
      <c r="G1039" s="8"/>
      <c r="H1039" s="8"/>
      <c r="I1039" s="9"/>
      <c r="J1039" s="9"/>
      <c r="K1039" s="18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7"/>
      <c r="B1040" s="8"/>
      <c r="C1040" s="8"/>
      <c r="D1040" s="8"/>
      <c r="E1040" s="8"/>
      <c r="F1040" s="8"/>
      <c r="G1040" s="8"/>
      <c r="H1040" s="8"/>
      <c r="I1040" s="9"/>
      <c r="J1040" s="9"/>
      <c r="K1040" s="18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7"/>
      <c r="B1041" s="8"/>
      <c r="C1041" s="8"/>
      <c r="D1041" s="8"/>
      <c r="E1041" s="8"/>
      <c r="F1041" s="8"/>
      <c r="G1041" s="8"/>
      <c r="H1041" s="8"/>
      <c r="I1041" s="9"/>
      <c r="J1041" s="9"/>
      <c r="K1041" s="18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7"/>
      <c r="B1042" s="8"/>
      <c r="C1042" s="8"/>
      <c r="D1042" s="8"/>
      <c r="E1042" s="8"/>
      <c r="F1042" s="8"/>
      <c r="G1042" s="8"/>
      <c r="H1042" s="8"/>
      <c r="I1042" s="9"/>
      <c r="J1042" s="9"/>
      <c r="K1042" s="18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7"/>
      <c r="B1043" s="8"/>
      <c r="C1043" s="8"/>
      <c r="D1043" s="8"/>
      <c r="E1043" s="8"/>
      <c r="F1043" s="8"/>
      <c r="G1043" s="8"/>
      <c r="H1043" s="8"/>
      <c r="I1043" s="9"/>
      <c r="J1043" s="9"/>
      <c r="K1043" s="18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7"/>
      <c r="B1044" s="8"/>
      <c r="C1044" s="8"/>
      <c r="D1044" s="8"/>
      <c r="E1044" s="8"/>
      <c r="F1044" s="8"/>
      <c r="G1044" s="8"/>
      <c r="H1044" s="8"/>
      <c r="I1044" s="9"/>
      <c r="J1044" s="9"/>
      <c r="K1044" s="18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7"/>
      <c r="B1045" s="8"/>
      <c r="C1045" s="8"/>
      <c r="D1045" s="8"/>
      <c r="E1045" s="8"/>
      <c r="F1045" s="8"/>
      <c r="G1045" s="8"/>
      <c r="H1045" s="8"/>
      <c r="I1045" s="9"/>
      <c r="J1045" s="9"/>
      <c r="K1045" s="18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7"/>
      <c r="B1046" s="8"/>
      <c r="C1046" s="8"/>
      <c r="D1046" s="8"/>
      <c r="E1046" s="8"/>
      <c r="F1046" s="8"/>
      <c r="G1046" s="8"/>
      <c r="H1046" s="8"/>
      <c r="I1046" s="9"/>
      <c r="J1046" s="9"/>
      <c r="K1046" s="18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7"/>
      <c r="B1047" s="8"/>
      <c r="C1047" s="8"/>
      <c r="D1047" s="8"/>
      <c r="E1047" s="8"/>
      <c r="F1047" s="8"/>
      <c r="G1047" s="8"/>
      <c r="H1047" s="8"/>
      <c r="I1047" s="9"/>
      <c r="J1047" s="9"/>
      <c r="K1047" s="18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7"/>
      <c r="B1048" s="8"/>
      <c r="C1048" s="8"/>
      <c r="D1048" s="8"/>
      <c r="E1048" s="8"/>
      <c r="F1048" s="8"/>
      <c r="G1048" s="8"/>
      <c r="H1048" s="8"/>
      <c r="I1048" s="9"/>
      <c r="J1048" s="9"/>
      <c r="K1048" s="1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7"/>
      <c r="B1049" s="8"/>
      <c r="C1049" s="8"/>
      <c r="D1049" s="8"/>
      <c r="E1049" s="8"/>
      <c r="F1049" s="8"/>
      <c r="G1049" s="8"/>
      <c r="H1049" s="8"/>
      <c r="I1049" s="9"/>
      <c r="J1049" s="9"/>
      <c r="K1049" s="1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7"/>
      <c r="B1050" s="8"/>
      <c r="C1050" s="8"/>
      <c r="D1050" s="8"/>
      <c r="E1050" s="8"/>
      <c r="F1050" s="8"/>
      <c r="G1050" s="8"/>
      <c r="H1050" s="8"/>
      <c r="I1050" s="9"/>
      <c r="J1050" s="9"/>
      <c r="K1050" s="1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7"/>
      <c r="B1051" s="8"/>
      <c r="C1051" s="8"/>
      <c r="D1051" s="8"/>
      <c r="E1051" s="8"/>
      <c r="F1051" s="8"/>
      <c r="G1051" s="8"/>
      <c r="H1051" s="8"/>
      <c r="I1051" s="9"/>
      <c r="J1051" s="9"/>
      <c r="K1051" s="1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7"/>
      <c r="B1052" s="8"/>
      <c r="C1052" s="8"/>
      <c r="D1052" s="8"/>
      <c r="E1052" s="8"/>
      <c r="F1052" s="8"/>
      <c r="G1052" s="8"/>
      <c r="H1052" s="8"/>
      <c r="I1052" s="9"/>
      <c r="J1052" s="9"/>
      <c r="K1052" s="18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7"/>
      <c r="B1053" s="8"/>
      <c r="C1053" s="8"/>
      <c r="D1053" s="8"/>
      <c r="E1053" s="8"/>
      <c r="F1053" s="8"/>
      <c r="G1053" s="8"/>
      <c r="H1053" s="8"/>
      <c r="I1053" s="9"/>
      <c r="J1053" s="9"/>
      <c r="K1053" s="18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7"/>
      <c r="B1054" s="8"/>
      <c r="C1054" s="8"/>
      <c r="D1054" s="8"/>
      <c r="E1054" s="8"/>
      <c r="F1054" s="8"/>
      <c r="G1054" s="8"/>
      <c r="H1054" s="8"/>
      <c r="I1054" s="9"/>
      <c r="J1054" s="9"/>
      <c r="K1054" s="18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7"/>
      <c r="B1055" s="8"/>
      <c r="C1055" s="8"/>
      <c r="D1055" s="8"/>
      <c r="E1055" s="8"/>
      <c r="F1055" s="8"/>
      <c r="G1055" s="8"/>
      <c r="H1055" s="8"/>
      <c r="I1055" s="9"/>
      <c r="J1055" s="9"/>
      <c r="K1055" s="18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7"/>
      <c r="B1056" s="8"/>
      <c r="C1056" s="8"/>
      <c r="D1056" s="8"/>
      <c r="E1056" s="8"/>
      <c r="F1056" s="8"/>
      <c r="G1056" s="8"/>
      <c r="H1056" s="8"/>
      <c r="I1056" s="9"/>
      <c r="J1056" s="9"/>
      <c r="K1056" s="18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7"/>
      <c r="B1057" s="8"/>
      <c r="C1057" s="8"/>
      <c r="D1057" s="8"/>
      <c r="E1057" s="8"/>
      <c r="F1057" s="8"/>
      <c r="G1057" s="8"/>
      <c r="H1057" s="8"/>
      <c r="I1057" s="9"/>
      <c r="J1057" s="9"/>
      <c r="K1057" s="18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7"/>
      <c r="B1058" s="8"/>
      <c r="C1058" s="8"/>
      <c r="D1058" s="8"/>
      <c r="E1058" s="8"/>
      <c r="F1058" s="8"/>
      <c r="G1058" s="8"/>
      <c r="H1058" s="8"/>
      <c r="I1058" s="9"/>
      <c r="J1058" s="9"/>
      <c r="K1058" s="18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7"/>
      <c r="B1059" s="8"/>
      <c r="C1059" s="8"/>
      <c r="D1059" s="8"/>
      <c r="E1059" s="8"/>
      <c r="F1059" s="8"/>
      <c r="G1059" s="8"/>
      <c r="H1059" s="8"/>
      <c r="I1059" s="9"/>
      <c r="J1059" s="9"/>
      <c r="K1059" s="18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7"/>
      <c r="B1060" s="8"/>
      <c r="C1060" s="8"/>
      <c r="D1060" s="8"/>
      <c r="E1060" s="8"/>
      <c r="F1060" s="8"/>
      <c r="G1060" s="8"/>
      <c r="H1060" s="8"/>
      <c r="I1060" s="9"/>
      <c r="J1060" s="9"/>
      <c r="K1060" s="18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7"/>
      <c r="B1061" s="8"/>
      <c r="C1061" s="8"/>
      <c r="D1061" s="8"/>
      <c r="E1061" s="8"/>
      <c r="F1061" s="8"/>
      <c r="G1061" s="8"/>
      <c r="H1061" s="8"/>
      <c r="I1061" s="9"/>
      <c r="J1061" s="9"/>
      <c r="K1061" s="1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7"/>
      <c r="B1062" s="8"/>
      <c r="C1062" s="8"/>
      <c r="D1062" s="8"/>
      <c r="E1062" s="8"/>
      <c r="F1062" s="8"/>
      <c r="G1062" s="8"/>
      <c r="H1062" s="8"/>
      <c r="I1062" s="9"/>
      <c r="J1062" s="9"/>
      <c r="K1062" s="1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7"/>
      <c r="B1063" s="8"/>
      <c r="C1063" s="8"/>
      <c r="D1063" s="8"/>
      <c r="E1063" s="8"/>
      <c r="F1063" s="8"/>
      <c r="G1063" s="8"/>
      <c r="H1063" s="8"/>
      <c r="I1063" s="9"/>
      <c r="J1063" s="9"/>
      <c r="K1063" s="1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7"/>
      <c r="B1064" s="8"/>
      <c r="C1064" s="8"/>
      <c r="D1064" s="8"/>
      <c r="E1064" s="8"/>
      <c r="F1064" s="8"/>
      <c r="G1064" s="8"/>
      <c r="H1064" s="8"/>
      <c r="I1064" s="9"/>
      <c r="J1064" s="9"/>
      <c r="K1064" s="18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7"/>
      <c r="B1065" s="8"/>
      <c r="C1065" s="8"/>
      <c r="D1065" s="8"/>
      <c r="E1065" s="8"/>
      <c r="F1065" s="8"/>
      <c r="G1065" s="8"/>
      <c r="H1065" s="8"/>
      <c r="I1065" s="9"/>
      <c r="J1065" s="9"/>
      <c r="K1065" s="18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7"/>
      <c r="B1066" s="8"/>
      <c r="C1066" s="8"/>
      <c r="D1066" s="8"/>
      <c r="E1066" s="8"/>
      <c r="F1066" s="8"/>
      <c r="G1066" s="8"/>
      <c r="H1066" s="8"/>
      <c r="I1066" s="9"/>
      <c r="J1066" s="9"/>
      <c r="K1066" s="18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7"/>
      <c r="B1067" s="8"/>
      <c r="C1067" s="8"/>
      <c r="D1067" s="8"/>
      <c r="E1067" s="8"/>
      <c r="F1067" s="8"/>
      <c r="G1067" s="8"/>
      <c r="H1067" s="8"/>
      <c r="I1067" s="9"/>
      <c r="J1067" s="9"/>
      <c r="K1067" s="18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7"/>
      <c r="B1068" s="8"/>
      <c r="C1068" s="8"/>
      <c r="D1068" s="8"/>
      <c r="E1068" s="8"/>
      <c r="F1068" s="8"/>
      <c r="G1068" s="8"/>
      <c r="H1068" s="8"/>
      <c r="I1068" s="9"/>
      <c r="J1068" s="9"/>
      <c r="K1068" s="18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7"/>
      <c r="B1069" s="8"/>
      <c r="C1069" s="8"/>
      <c r="D1069" s="8"/>
      <c r="E1069" s="8"/>
      <c r="F1069" s="8"/>
      <c r="G1069" s="8"/>
      <c r="H1069" s="8"/>
      <c r="I1069" s="9"/>
      <c r="J1069" s="9"/>
      <c r="K1069" s="18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7"/>
      <c r="B1070" s="8"/>
      <c r="C1070" s="8"/>
      <c r="D1070" s="8"/>
      <c r="E1070" s="8"/>
      <c r="F1070" s="8"/>
      <c r="G1070" s="8"/>
      <c r="H1070" s="8"/>
      <c r="I1070" s="9"/>
      <c r="J1070" s="9"/>
      <c r="K1070" s="18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7"/>
      <c r="B1071" s="8"/>
      <c r="C1071" s="8"/>
      <c r="D1071" s="8"/>
      <c r="E1071" s="8"/>
      <c r="F1071" s="8"/>
      <c r="G1071" s="8"/>
      <c r="H1071" s="8"/>
      <c r="I1071" s="9"/>
      <c r="J1071" s="9"/>
      <c r="K1071" s="18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7"/>
      <c r="B1072" s="8"/>
      <c r="C1072" s="8"/>
      <c r="D1072" s="8"/>
      <c r="E1072" s="8"/>
      <c r="F1072" s="8"/>
      <c r="G1072" s="8"/>
      <c r="H1072" s="8"/>
      <c r="I1072" s="9"/>
      <c r="J1072" s="9"/>
      <c r="K1072" s="18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7"/>
      <c r="B1073" s="8"/>
      <c r="C1073" s="8"/>
      <c r="D1073" s="8"/>
      <c r="E1073" s="8"/>
      <c r="F1073" s="8"/>
      <c r="G1073" s="8"/>
      <c r="H1073" s="8"/>
      <c r="I1073" s="9"/>
      <c r="J1073" s="9"/>
      <c r="K1073" s="18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7"/>
      <c r="B1074" s="8"/>
      <c r="C1074" s="8"/>
      <c r="D1074" s="8"/>
      <c r="E1074" s="8"/>
      <c r="F1074" s="8"/>
      <c r="G1074" s="8"/>
      <c r="H1074" s="8"/>
      <c r="I1074" s="9"/>
      <c r="J1074" s="9"/>
      <c r="K1074" s="18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7"/>
      <c r="B1075" s="8"/>
      <c r="C1075" s="8"/>
      <c r="D1075" s="8"/>
      <c r="E1075" s="8"/>
      <c r="F1075" s="8"/>
      <c r="G1075" s="8"/>
      <c r="H1075" s="8"/>
      <c r="I1075" s="9"/>
      <c r="J1075" s="9"/>
      <c r="K1075" s="18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7"/>
      <c r="B1076" s="8"/>
      <c r="C1076" s="8"/>
      <c r="D1076" s="8"/>
      <c r="E1076" s="8"/>
      <c r="F1076" s="8"/>
      <c r="G1076" s="8"/>
      <c r="H1076" s="8"/>
      <c r="I1076" s="9"/>
      <c r="J1076" s="9"/>
      <c r="K1076" s="18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7"/>
      <c r="B1077" s="8"/>
      <c r="C1077" s="8"/>
      <c r="D1077" s="8"/>
      <c r="E1077" s="8"/>
      <c r="F1077" s="8"/>
      <c r="G1077" s="8"/>
      <c r="H1077" s="8"/>
      <c r="I1077" s="9"/>
      <c r="J1077" s="9"/>
      <c r="K1077" s="18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7"/>
      <c r="B1078" s="8"/>
      <c r="C1078" s="8"/>
      <c r="D1078" s="8"/>
      <c r="E1078" s="8"/>
      <c r="F1078" s="8"/>
      <c r="G1078" s="8"/>
      <c r="H1078" s="8"/>
      <c r="I1078" s="9"/>
      <c r="J1078" s="9"/>
      <c r="K1078" s="18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7"/>
      <c r="B1079" s="8"/>
      <c r="C1079" s="8"/>
      <c r="D1079" s="8"/>
      <c r="E1079" s="8"/>
      <c r="F1079" s="8"/>
      <c r="G1079" s="8"/>
      <c r="H1079" s="8"/>
      <c r="I1079" s="9"/>
      <c r="J1079" s="9"/>
      <c r="K1079" s="18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7"/>
      <c r="B1080" s="8"/>
      <c r="C1080" s="8"/>
      <c r="D1080" s="8"/>
      <c r="E1080" s="8"/>
      <c r="F1080" s="8"/>
      <c r="G1080" s="8"/>
      <c r="H1080" s="8"/>
      <c r="I1080" s="9"/>
      <c r="J1080" s="9"/>
      <c r="K1080" s="18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7"/>
      <c r="B1081" s="8"/>
      <c r="C1081" s="8"/>
      <c r="D1081" s="8"/>
      <c r="E1081" s="8"/>
      <c r="F1081" s="8"/>
      <c r="G1081" s="8"/>
      <c r="H1081" s="8"/>
      <c r="I1081" s="9"/>
      <c r="J1081" s="9"/>
      <c r="K1081" s="18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7"/>
      <c r="B1082" s="8"/>
      <c r="C1082" s="8"/>
      <c r="D1082" s="8"/>
      <c r="E1082" s="8"/>
      <c r="F1082" s="8"/>
      <c r="G1082" s="8"/>
      <c r="H1082" s="8"/>
      <c r="I1082" s="9"/>
      <c r="J1082" s="9"/>
      <c r="K1082" s="18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7"/>
      <c r="B1083" s="8"/>
      <c r="C1083" s="8"/>
      <c r="D1083" s="8"/>
      <c r="E1083" s="8"/>
      <c r="F1083" s="8"/>
      <c r="G1083" s="8"/>
      <c r="H1083" s="8"/>
      <c r="I1083" s="9"/>
      <c r="J1083" s="9"/>
      <c r="K1083" s="18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7"/>
      <c r="B1084" s="8"/>
      <c r="C1084" s="8"/>
      <c r="D1084" s="8"/>
      <c r="E1084" s="8"/>
      <c r="F1084" s="8"/>
      <c r="G1084" s="8"/>
      <c r="H1084" s="8"/>
      <c r="I1084" s="9"/>
      <c r="J1084" s="9"/>
      <c r="K1084" s="18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7"/>
      <c r="B1085" s="8"/>
      <c r="C1085" s="8"/>
      <c r="D1085" s="8"/>
      <c r="E1085" s="8"/>
      <c r="F1085" s="8"/>
      <c r="G1085" s="8"/>
      <c r="H1085" s="8"/>
      <c r="I1085" s="9"/>
      <c r="J1085" s="9"/>
      <c r="K1085" s="18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7"/>
      <c r="B1086" s="8"/>
      <c r="C1086" s="8"/>
      <c r="D1086" s="8"/>
      <c r="E1086" s="8"/>
      <c r="F1086" s="8"/>
      <c r="G1086" s="8"/>
      <c r="H1086" s="8"/>
      <c r="I1086" s="9"/>
      <c r="J1086" s="9"/>
      <c r="K1086" s="18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7"/>
      <c r="B1087" s="8"/>
      <c r="C1087" s="8"/>
      <c r="D1087" s="8"/>
      <c r="E1087" s="8"/>
      <c r="F1087" s="8"/>
      <c r="G1087" s="8"/>
      <c r="H1087" s="8"/>
      <c r="I1087" s="9"/>
      <c r="J1087" s="9"/>
      <c r="K1087" s="18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7"/>
      <c r="B1088" s="8"/>
      <c r="C1088" s="8"/>
      <c r="D1088" s="8"/>
      <c r="E1088" s="8"/>
      <c r="F1088" s="8"/>
      <c r="G1088" s="8"/>
      <c r="H1088" s="8"/>
      <c r="I1088" s="9"/>
      <c r="J1088" s="9"/>
      <c r="K1088" s="18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7"/>
      <c r="B1089" s="8"/>
      <c r="C1089" s="8"/>
      <c r="D1089" s="8"/>
      <c r="E1089" s="8"/>
      <c r="F1089" s="8"/>
      <c r="G1089" s="8"/>
      <c r="H1089" s="8"/>
      <c r="I1089" s="9"/>
      <c r="J1089" s="9"/>
      <c r="K1089" s="18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7"/>
      <c r="B1090" s="8"/>
      <c r="C1090" s="8"/>
      <c r="D1090" s="8"/>
      <c r="E1090" s="8"/>
      <c r="F1090" s="8"/>
      <c r="G1090" s="8"/>
      <c r="H1090" s="8"/>
      <c r="I1090" s="9"/>
      <c r="J1090" s="9"/>
      <c r="K1090" s="18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7"/>
      <c r="B1091" s="8"/>
      <c r="C1091" s="8"/>
      <c r="D1091" s="8"/>
      <c r="E1091" s="8"/>
      <c r="F1091" s="8"/>
      <c r="G1091" s="8"/>
      <c r="H1091" s="8"/>
      <c r="I1091" s="9"/>
      <c r="J1091" s="9"/>
      <c r="K1091" s="18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7"/>
      <c r="B1092" s="8"/>
      <c r="C1092" s="8"/>
      <c r="D1092" s="8"/>
      <c r="E1092" s="8"/>
      <c r="F1092" s="8"/>
      <c r="G1092" s="8"/>
      <c r="H1092" s="8"/>
      <c r="I1092" s="9"/>
      <c r="J1092" s="9"/>
      <c r="K1092" s="18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7"/>
      <c r="B1093" s="8"/>
      <c r="C1093" s="8"/>
      <c r="D1093" s="8"/>
      <c r="E1093" s="8"/>
      <c r="F1093" s="8"/>
      <c r="G1093" s="8"/>
      <c r="H1093" s="8"/>
      <c r="I1093" s="9"/>
      <c r="J1093" s="9"/>
      <c r="K1093" s="18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7"/>
      <c r="B1094" s="8"/>
      <c r="C1094" s="8"/>
      <c r="D1094" s="8"/>
      <c r="E1094" s="8"/>
      <c r="F1094" s="8"/>
      <c r="G1094" s="8"/>
      <c r="H1094" s="8"/>
      <c r="I1094" s="9"/>
      <c r="J1094" s="9"/>
      <c r="K1094" s="18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7"/>
      <c r="B1095" s="8"/>
      <c r="C1095" s="8"/>
      <c r="D1095" s="8"/>
      <c r="E1095" s="8"/>
      <c r="F1095" s="8"/>
      <c r="G1095" s="8"/>
      <c r="H1095" s="8"/>
      <c r="I1095" s="9"/>
      <c r="J1095" s="9"/>
      <c r="K1095" s="18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7"/>
      <c r="B1096" s="8"/>
      <c r="C1096" s="8"/>
      <c r="D1096" s="8"/>
      <c r="E1096" s="8"/>
      <c r="F1096" s="8"/>
      <c r="G1096" s="8"/>
      <c r="H1096" s="8"/>
      <c r="I1096" s="9"/>
      <c r="J1096" s="9"/>
      <c r="K1096" s="18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7"/>
      <c r="B1097" s="8"/>
      <c r="C1097" s="8"/>
      <c r="D1097" s="8"/>
      <c r="E1097" s="8"/>
      <c r="F1097" s="8"/>
      <c r="G1097" s="8"/>
      <c r="H1097" s="8"/>
      <c r="I1097" s="9"/>
      <c r="J1097" s="9"/>
      <c r="K1097" s="18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7"/>
      <c r="B1098" s="8"/>
      <c r="C1098" s="8"/>
      <c r="D1098" s="8"/>
      <c r="E1098" s="8"/>
      <c r="F1098" s="8"/>
      <c r="G1098" s="8"/>
      <c r="H1098" s="8"/>
      <c r="I1098" s="9"/>
      <c r="J1098" s="9"/>
      <c r="K1098" s="18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7"/>
      <c r="B1099" s="8"/>
      <c r="C1099" s="8"/>
      <c r="D1099" s="8"/>
      <c r="E1099" s="8"/>
      <c r="F1099" s="8"/>
      <c r="G1099" s="8"/>
      <c r="H1099" s="8"/>
      <c r="I1099" s="9"/>
      <c r="J1099" s="9"/>
      <c r="K1099" s="18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7"/>
      <c r="B1100" s="8"/>
      <c r="C1100" s="8"/>
      <c r="D1100" s="8"/>
      <c r="E1100" s="8"/>
      <c r="F1100" s="8"/>
      <c r="G1100" s="8"/>
      <c r="H1100" s="8"/>
      <c r="I1100" s="9"/>
      <c r="J1100" s="9"/>
      <c r="K1100" s="18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7"/>
      <c r="B1101" s="8"/>
      <c r="C1101" s="8"/>
      <c r="D1101" s="8"/>
      <c r="E1101" s="8"/>
      <c r="F1101" s="8"/>
      <c r="G1101" s="8"/>
      <c r="H1101" s="8"/>
      <c r="I1101" s="9"/>
      <c r="J1101" s="9"/>
      <c r="K1101" s="18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7"/>
      <c r="B1102" s="8"/>
      <c r="C1102" s="8"/>
      <c r="D1102" s="8"/>
      <c r="E1102" s="8"/>
      <c r="F1102" s="8"/>
      <c r="G1102" s="8"/>
      <c r="H1102" s="8"/>
      <c r="I1102" s="9"/>
      <c r="J1102" s="9"/>
      <c r="K1102" s="18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7"/>
      <c r="B1103" s="8"/>
      <c r="C1103" s="8"/>
      <c r="D1103" s="8"/>
      <c r="E1103" s="8"/>
      <c r="F1103" s="8"/>
      <c r="G1103" s="8"/>
      <c r="H1103" s="8"/>
      <c r="I1103" s="9"/>
      <c r="J1103" s="9"/>
      <c r="K1103" s="18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7"/>
      <c r="B1104" s="8"/>
      <c r="C1104" s="8"/>
      <c r="D1104" s="8"/>
      <c r="E1104" s="8"/>
      <c r="F1104" s="8"/>
      <c r="G1104" s="8"/>
      <c r="H1104" s="8"/>
      <c r="I1104" s="9"/>
      <c r="J1104" s="9"/>
      <c r="K1104" s="18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7"/>
      <c r="B1105" s="8"/>
      <c r="C1105" s="8"/>
      <c r="D1105" s="8"/>
      <c r="E1105" s="8"/>
      <c r="F1105" s="8"/>
      <c r="G1105" s="8"/>
      <c r="H1105" s="8"/>
      <c r="I1105" s="9"/>
      <c r="J1105" s="9"/>
      <c r="K1105" s="1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7"/>
      <c r="B1106" s="8"/>
      <c r="C1106" s="8"/>
      <c r="D1106" s="8"/>
      <c r="E1106" s="8"/>
      <c r="F1106" s="8"/>
      <c r="G1106" s="8"/>
      <c r="H1106" s="8"/>
      <c r="I1106" s="9"/>
      <c r="J1106" s="9"/>
      <c r="K1106" s="1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7"/>
      <c r="B1107" s="8"/>
      <c r="C1107" s="8"/>
      <c r="D1107" s="8"/>
      <c r="E1107" s="8"/>
      <c r="F1107" s="8"/>
      <c r="G1107" s="8"/>
      <c r="H1107" s="8"/>
      <c r="I1107" s="9"/>
      <c r="J1107" s="9"/>
      <c r="K1107" s="1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7"/>
      <c r="B1108" s="8"/>
      <c r="C1108" s="8"/>
      <c r="D1108" s="8"/>
      <c r="E1108" s="8"/>
      <c r="F1108" s="8"/>
      <c r="G1108" s="8"/>
      <c r="H1108" s="8"/>
      <c r="I1108" s="9"/>
      <c r="J1108" s="9"/>
      <c r="K1108" s="1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7"/>
      <c r="B1109" s="8"/>
      <c r="C1109" s="8"/>
      <c r="D1109" s="8"/>
      <c r="E1109" s="8"/>
      <c r="F1109" s="8"/>
      <c r="G1109" s="8"/>
      <c r="H1109" s="8"/>
      <c r="I1109" s="9"/>
      <c r="J1109" s="9"/>
      <c r="K1109" s="18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7"/>
      <c r="B1110" s="8"/>
      <c r="C1110" s="8"/>
      <c r="D1110" s="8"/>
      <c r="E1110" s="8"/>
      <c r="F1110" s="8"/>
      <c r="G1110" s="8"/>
      <c r="H1110" s="8"/>
      <c r="I1110" s="9"/>
      <c r="J1110" s="9"/>
      <c r="K1110" s="18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7"/>
      <c r="B1111" s="8"/>
      <c r="C1111" s="8"/>
      <c r="D1111" s="8"/>
      <c r="E1111" s="8"/>
      <c r="F1111" s="8"/>
      <c r="G1111" s="8"/>
      <c r="H1111" s="8"/>
      <c r="I1111" s="9"/>
      <c r="J1111" s="9"/>
      <c r="K1111" s="18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7"/>
      <c r="B1112" s="8"/>
      <c r="C1112" s="8"/>
      <c r="D1112" s="8"/>
      <c r="E1112" s="8"/>
      <c r="F1112" s="8"/>
      <c r="G1112" s="8"/>
      <c r="H1112" s="8"/>
      <c r="I1112" s="9"/>
      <c r="J1112" s="9"/>
      <c r="K1112" s="18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7"/>
      <c r="B1113" s="8"/>
      <c r="C1113" s="8"/>
      <c r="D1113" s="8"/>
      <c r="E1113" s="8"/>
      <c r="F1113" s="8"/>
      <c r="G1113" s="8"/>
      <c r="H1113" s="8"/>
      <c r="I1113" s="9"/>
      <c r="J1113" s="9"/>
      <c r="K1113" s="18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7"/>
      <c r="B1114" s="8"/>
      <c r="C1114" s="8"/>
      <c r="D1114" s="8"/>
      <c r="E1114" s="8"/>
      <c r="F1114" s="8"/>
      <c r="G1114" s="8"/>
      <c r="H1114" s="8"/>
      <c r="I1114" s="9"/>
      <c r="J1114" s="9"/>
      <c r="K1114" s="18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7"/>
      <c r="B1115" s="8"/>
      <c r="C1115" s="8"/>
      <c r="D1115" s="8"/>
      <c r="E1115" s="8"/>
      <c r="F1115" s="8"/>
      <c r="G1115" s="8"/>
      <c r="H1115" s="8"/>
      <c r="I1115" s="9"/>
      <c r="J1115" s="9"/>
      <c r="K1115" s="18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7"/>
      <c r="B1116" s="8"/>
      <c r="C1116" s="8"/>
      <c r="D1116" s="8"/>
      <c r="E1116" s="8"/>
      <c r="F1116" s="8"/>
      <c r="G1116" s="8"/>
      <c r="H1116" s="8"/>
      <c r="I1116" s="9"/>
      <c r="J1116" s="9"/>
      <c r="K1116" s="18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7"/>
      <c r="B1117" s="8"/>
      <c r="C1117" s="8"/>
      <c r="D1117" s="8"/>
      <c r="E1117" s="8"/>
      <c r="F1117" s="8"/>
      <c r="G1117" s="8"/>
      <c r="H1117" s="8"/>
      <c r="I1117" s="9"/>
      <c r="J1117" s="9"/>
      <c r="K1117" s="18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7"/>
      <c r="B1118" s="8"/>
      <c r="C1118" s="8"/>
      <c r="D1118" s="8"/>
      <c r="E1118" s="8"/>
      <c r="F1118" s="8"/>
      <c r="G1118" s="8"/>
      <c r="H1118" s="8"/>
      <c r="I1118" s="9"/>
      <c r="J1118" s="9"/>
      <c r="K1118" s="1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7"/>
      <c r="B1119" s="8"/>
      <c r="C1119" s="8"/>
      <c r="D1119" s="8"/>
      <c r="E1119" s="8"/>
      <c r="F1119" s="8"/>
      <c r="G1119" s="8"/>
      <c r="H1119" s="8"/>
      <c r="I1119" s="9"/>
      <c r="J1119" s="9"/>
      <c r="K1119" s="1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7"/>
      <c r="B1120" s="8"/>
      <c r="C1120" s="8"/>
      <c r="D1120" s="8"/>
      <c r="E1120" s="8"/>
      <c r="F1120" s="8"/>
      <c r="G1120" s="8"/>
      <c r="H1120" s="8"/>
      <c r="I1120" s="9"/>
      <c r="J1120" s="9"/>
      <c r="K1120" s="1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7"/>
      <c r="B1121" s="8"/>
      <c r="C1121" s="8"/>
      <c r="D1121" s="8"/>
      <c r="E1121" s="8"/>
      <c r="F1121" s="8"/>
      <c r="G1121" s="8"/>
      <c r="H1121" s="8"/>
      <c r="I1121" s="9"/>
      <c r="J1121" s="9"/>
      <c r="K1121" s="18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7"/>
      <c r="B1122" s="8"/>
      <c r="C1122" s="8"/>
      <c r="D1122" s="8"/>
      <c r="E1122" s="8"/>
      <c r="F1122" s="8"/>
      <c r="G1122" s="8"/>
      <c r="H1122" s="8"/>
      <c r="I1122" s="9"/>
      <c r="J1122" s="9"/>
      <c r="K1122" s="18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7"/>
      <c r="B1123" s="8"/>
      <c r="C1123" s="8"/>
      <c r="D1123" s="8"/>
      <c r="E1123" s="8"/>
      <c r="F1123" s="8"/>
      <c r="G1123" s="8"/>
      <c r="H1123" s="8"/>
      <c r="I1123" s="9"/>
      <c r="J1123" s="9"/>
      <c r="K1123" s="18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7"/>
      <c r="B1124" s="8"/>
      <c r="C1124" s="8"/>
      <c r="D1124" s="8"/>
      <c r="E1124" s="8"/>
      <c r="F1124" s="8"/>
      <c r="G1124" s="8"/>
      <c r="H1124" s="8"/>
      <c r="I1124" s="9"/>
      <c r="J1124" s="9"/>
      <c r="K1124" s="18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7"/>
      <c r="B1125" s="8"/>
      <c r="C1125" s="8"/>
      <c r="D1125" s="8"/>
      <c r="E1125" s="8"/>
      <c r="F1125" s="8"/>
      <c r="G1125" s="8"/>
      <c r="H1125" s="8"/>
      <c r="I1125" s="9"/>
      <c r="J1125" s="9"/>
      <c r="K1125" s="18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7"/>
      <c r="B1126" s="8"/>
      <c r="C1126" s="8"/>
      <c r="D1126" s="8"/>
      <c r="E1126" s="8"/>
      <c r="F1126" s="8"/>
      <c r="G1126" s="8"/>
      <c r="H1126" s="8"/>
      <c r="I1126" s="9"/>
      <c r="J1126" s="9"/>
      <c r="K1126" s="18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7"/>
      <c r="B1127" s="8"/>
      <c r="C1127" s="8"/>
      <c r="D1127" s="8"/>
      <c r="E1127" s="8"/>
      <c r="F1127" s="8"/>
      <c r="G1127" s="8"/>
      <c r="H1127" s="8"/>
      <c r="I1127" s="9"/>
      <c r="J1127" s="9"/>
      <c r="K1127" s="18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7"/>
      <c r="B1128" s="8"/>
      <c r="C1128" s="8"/>
      <c r="D1128" s="8"/>
      <c r="E1128" s="8"/>
      <c r="F1128" s="8"/>
      <c r="G1128" s="8"/>
      <c r="H1128" s="8"/>
      <c r="I1128" s="9"/>
      <c r="J1128" s="9"/>
      <c r="K1128" s="18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7"/>
      <c r="B1129" s="8"/>
      <c r="C1129" s="8"/>
      <c r="D1129" s="8"/>
      <c r="E1129" s="8"/>
      <c r="F1129" s="8"/>
      <c r="G1129" s="8"/>
      <c r="H1129" s="8"/>
      <c r="I1129" s="9"/>
      <c r="J1129" s="9"/>
      <c r="K1129" s="18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7"/>
      <c r="B1130" s="8"/>
      <c r="C1130" s="8"/>
      <c r="D1130" s="8"/>
      <c r="E1130" s="8"/>
      <c r="F1130" s="8"/>
      <c r="G1130" s="8"/>
      <c r="H1130" s="8"/>
      <c r="I1130" s="9"/>
      <c r="J1130" s="9"/>
      <c r="K1130" s="18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7"/>
      <c r="B1131" s="8"/>
      <c r="C1131" s="8"/>
      <c r="D1131" s="8"/>
      <c r="E1131" s="8"/>
      <c r="F1131" s="8"/>
      <c r="G1131" s="8"/>
      <c r="H1131" s="8"/>
      <c r="I1131" s="9"/>
      <c r="J1131" s="9"/>
      <c r="K1131" s="18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7"/>
      <c r="B1132" s="8"/>
      <c r="C1132" s="8"/>
      <c r="D1132" s="8"/>
      <c r="E1132" s="8"/>
      <c r="F1132" s="8"/>
      <c r="G1132" s="8"/>
      <c r="H1132" s="8"/>
      <c r="I1132" s="9"/>
      <c r="J1132" s="9"/>
      <c r="K1132" s="18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7"/>
      <c r="B1133" s="8"/>
      <c r="C1133" s="8"/>
      <c r="D1133" s="8"/>
      <c r="E1133" s="8"/>
      <c r="F1133" s="8"/>
      <c r="G1133" s="8"/>
      <c r="H1133" s="8"/>
      <c r="I1133" s="9"/>
      <c r="J1133" s="9"/>
      <c r="K1133" s="18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7"/>
      <c r="B1134" s="8"/>
      <c r="C1134" s="8"/>
      <c r="D1134" s="8"/>
      <c r="E1134" s="8"/>
      <c r="F1134" s="8"/>
      <c r="G1134" s="8"/>
      <c r="H1134" s="8"/>
      <c r="I1134" s="9"/>
      <c r="J1134" s="9"/>
      <c r="K1134" s="18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7"/>
      <c r="B1135" s="8"/>
      <c r="C1135" s="8"/>
      <c r="D1135" s="8"/>
      <c r="E1135" s="8"/>
      <c r="F1135" s="8"/>
      <c r="G1135" s="8"/>
      <c r="H1135" s="8"/>
      <c r="I1135" s="9"/>
      <c r="J1135" s="9"/>
      <c r="K1135" s="18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7"/>
      <c r="B1136" s="8"/>
      <c r="C1136" s="8"/>
      <c r="D1136" s="8"/>
      <c r="E1136" s="8"/>
      <c r="F1136" s="8"/>
      <c r="G1136" s="8"/>
      <c r="H1136" s="8"/>
      <c r="I1136" s="9"/>
      <c r="J1136" s="9"/>
      <c r="K1136" s="18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7"/>
      <c r="B1137" s="8"/>
      <c r="C1137" s="8"/>
      <c r="D1137" s="8"/>
      <c r="E1137" s="8"/>
      <c r="F1137" s="8"/>
      <c r="G1137" s="8"/>
      <c r="H1137" s="8"/>
      <c r="I1137" s="9"/>
      <c r="J1137" s="9"/>
      <c r="K1137" s="18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7"/>
      <c r="B1138" s="8"/>
      <c r="C1138" s="8"/>
      <c r="D1138" s="8"/>
      <c r="E1138" s="8"/>
      <c r="F1138" s="8"/>
      <c r="G1138" s="8"/>
      <c r="H1138" s="8"/>
      <c r="I1138" s="9"/>
      <c r="J1138" s="9"/>
      <c r="K1138" s="18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7"/>
      <c r="B1139" s="8"/>
      <c r="C1139" s="8"/>
      <c r="D1139" s="8"/>
      <c r="E1139" s="8"/>
      <c r="F1139" s="8"/>
      <c r="G1139" s="8"/>
      <c r="H1139" s="8"/>
      <c r="I1139" s="9"/>
      <c r="J1139" s="9"/>
      <c r="K1139" s="18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7"/>
      <c r="B1140" s="8"/>
      <c r="C1140" s="8"/>
      <c r="D1140" s="8"/>
      <c r="E1140" s="8"/>
      <c r="F1140" s="8"/>
      <c r="G1140" s="8"/>
      <c r="H1140" s="8"/>
      <c r="I1140" s="9"/>
      <c r="J1140" s="9"/>
      <c r="K1140" s="18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7"/>
      <c r="B1141" s="8"/>
      <c r="C1141" s="8"/>
      <c r="D1141" s="8"/>
      <c r="E1141" s="8"/>
      <c r="F1141" s="8"/>
      <c r="G1141" s="8"/>
      <c r="H1141" s="8"/>
      <c r="I1141" s="9"/>
      <c r="J1141" s="9"/>
      <c r="K1141" s="1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7"/>
      <c r="B1142" s="8"/>
      <c r="C1142" s="8"/>
      <c r="D1142" s="8"/>
      <c r="E1142" s="8"/>
      <c r="F1142" s="8"/>
      <c r="G1142" s="8"/>
      <c r="H1142" s="8"/>
      <c r="I1142" s="9"/>
      <c r="J1142" s="9"/>
      <c r="K1142" s="1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7"/>
      <c r="B1143" s="8"/>
      <c r="C1143" s="8"/>
      <c r="D1143" s="8"/>
      <c r="E1143" s="8"/>
      <c r="F1143" s="8"/>
      <c r="G1143" s="8"/>
      <c r="H1143" s="8"/>
      <c r="I1143" s="9"/>
      <c r="J1143" s="9"/>
      <c r="K1143" s="1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7"/>
      <c r="B1144" s="8"/>
      <c r="C1144" s="8"/>
      <c r="D1144" s="8"/>
      <c r="E1144" s="8"/>
      <c r="F1144" s="8"/>
      <c r="G1144" s="8"/>
      <c r="H1144" s="8"/>
      <c r="I1144" s="9"/>
      <c r="J1144" s="9"/>
      <c r="K1144" s="1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7"/>
      <c r="B1145" s="8"/>
      <c r="C1145" s="8"/>
      <c r="D1145" s="8"/>
      <c r="E1145" s="8"/>
      <c r="F1145" s="8"/>
      <c r="G1145" s="8"/>
      <c r="H1145" s="8"/>
      <c r="I1145" s="9"/>
      <c r="J1145" s="9"/>
      <c r="K1145" s="18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7"/>
      <c r="B1146" s="8"/>
      <c r="C1146" s="8"/>
      <c r="D1146" s="8"/>
      <c r="E1146" s="8"/>
      <c r="F1146" s="8"/>
      <c r="G1146" s="8"/>
      <c r="H1146" s="8"/>
      <c r="I1146" s="9"/>
      <c r="J1146" s="9"/>
      <c r="K1146" s="18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7"/>
      <c r="B1147" s="8"/>
      <c r="C1147" s="8"/>
      <c r="D1147" s="8"/>
      <c r="E1147" s="8"/>
      <c r="F1147" s="8"/>
      <c r="G1147" s="8"/>
      <c r="H1147" s="8"/>
      <c r="I1147" s="9"/>
      <c r="J1147" s="9"/>
      <c r="K1147" s="18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7"/>
      <c r="B1148" s="8"/>
      <c r="C1148" s="8"/>
      <c r="D1148" s="8"/>
      <c r="E1148" s="8"/>
      <c r="F1148" s="8"/>
      <c r="G1148" s="8"/>
      <c r="H1148" s="8"/>
      <c r="I1148" s="9"/>
      <c r="J1148" s="9"/>
      <c r="K1148" s="18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7"/>
      <c r="B1149" s="8"/>
      <c r="C1149" s="8"/>
      <c r="D1149" s="8"/>
      <c r="E1149" s="8"/>
      <c r="F1149" s="8"/>
      <c r="G1149" s="8"/>
      <c r="H1149" s="8"/>
      <c r="I1149" s="9"/>
      <c r="J1149" s="9"/>
      <c r="K1149" s="18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7"/>
      <c r="B1150" s="8"/>
      <c r="C1150" s="8"/>
      <c r="D1150" s="8"/>
      <c r="E1150" s="8"/>
      <c r="F1150" s="8"/>
      <c r="G1150" s="8"/>
      <c r="H1150" s="8"/>
      <c r="I1150" s="9"/>
      <c r="J1150" s="9"/>
      <c r="K1150" s="18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7"/>
      <c r="B1151" s="8"/>
      <c r="C1151" s="8"/>
      <c r="D1151" s="8"/>
      <c r="E1151" s="8"/>
      <c r="F1151" s="8"/>
      <c r="G1151" s="8"/>
      <c r="H1151" s="8"/>
      <c r="I1151" s="9"/>
      <c r="J1151" s="9"/>
      <c r="K1151" s="18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7"/>
      <c r="B1152" s="8"/>
      <c r="C1152" s="8"/>
      <c r="D1152" s="8"/>
      <c r="E1152" s="8"/>
      <c r="F1152" s="8"/>
      <c r="G1152" s="8"/>
      <c r="H1152" s="8"/>
      <c r="I1152" s="9"/>
      <c r="J1152" s="9"/>
      <c r="K1152" s="18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7"/>
      <c r="B1153" s="8"/>
      <c r="C1153" s="8"/>
      <c r="D1153" s="8"/>
      <c r="E1153" s="8"/>
      <c r="F1153" s="8"/>
      <c r="G1153" s="8"/>
      <c r="H1153" s="8"/>
      <c r="I1153" s="9"/>
      <c r="J1153" s="9"/>
      <c r="K1153" s="18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7"/>
      <c r="B1154" s="8"/>
      <c r="C1154" s="8"/>
      <c r="D1154" s="8"/>
      <c r="E1154" s="8"/>
      <c r="F1154" s="8"/>
      <c r="G1154" s="8"/>
      <c r="H1154" s="8"/>
      <c r="I1154" s="9"/>
      <c r="J1154" s="9"/>
      <c r="K1154" s="1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7"/>
      <c r="B1155" s="8"/>
      <c r="C1155" s="8"/>
      <c r="D1155" s="8"/>
      <c r="E1155" s="8"/>
      <c r="F1155" s="8"/>
      <c r="G1155" s="8"/>
      <c r="H1155" s="8"/>
      <c r="I1155" s="9"/>
      <c r="J1155" s="9"/>
      <c r="K1155" s="1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7"/>
      <c r="B1156" s="8"/>
      <c r="C1156" s="8"/>
      <c r="D1156" s="8"/>
      <c r="E1156" s="8"/>
      <c r="F1156" s="8"/>
      <c r="G1156" s="8"/>
      <c r="H1156" s="8"/>
      <c r="I1156" s="9"/>
      <c r="J1156" s="9"/>
      <c r="K1156" s="1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7"/>
      <c r="B1157" s="8"/>
      <c r="C1157" s="8"/>
      <c r="D1157" s="8"/>
      <c r="E1157" s="8"/>
      <c r="F1157" s="8"/>
      <c r="G1157" s="8"/>
      <c r="H1157" s="8"/>
      <c r="I1157" s="9"/>
      <c r="J1157" s="9"/>
      <c r="K1157" s="18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7"/>
      <c r="B1158" s="8"/>
      <c r="C1158" s="8"/>
      <c r="D1158" s="8"/>
      <c r="E1158" s="8"/>
      <c r="F1158" s="8"/>
      <c r="G1158" s="8"/>
      <c r="H1158" s="8"/>
      <c r="I1158" s="9"/>
      <c r="J1158" s="9"/>
      <c r="K1158" s="18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7"/>
      <c r="B1159" s="8"/>
      <c r="C1159" s="8"/>
      <c r="D1159" s="8"/>
      <c r="E1159" s="8"/>
      <c r="F1159" s="8"/>
      <c r="G1159" s="8"/>
      <c r="H1159" s="8"/>
      <c r="I1159" s="9"/>
      <c r="J1159" s="9"/>
      <c r="K1159" s="18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7"/>
      <c r="B1160" s="8"/>
      <c r="C1160" s="8"/>
      <c r="D1160" s="8"/>
      <c r="E1160" s="8"/>
      <c r="F1160" s="8"/>
      <c r="G1160" s="8"/>
      <c r="H1160" s="8"/>
      <c r="I1160" s="9"/>
      <c r="J1160" s="9"/>
      <c r="K1160" s="18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7"/>
      <c r="B1161" s="8"/>
      <c r="C1161" s="8"/>
      <c r="D1161" s="8"/>
      <c r="E1161" s="8"/>
      <c r="F1161" s="8"/>
      <c r="G1161" s="8"/>
      <c r="H1161" s="8"/>
      <c r="I1161" s="9"/>
      <c r="J1161" s="9"/>
      <c r="K1161" s="18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7"/>
      <c r="B1162" s="8"/>
      <c r="C1162" s="8"/>
      <c r="D1162" s="8"/>
      <c r="E1162" s="8"/>
      <c r="F1162" s="8"/>
      <c r="G1162" s="8"/>
      <c r="H1162" s="8"/>
      <c r="I1162" s="9"/>
      <c r="J1162" s="9"/>
      <c r="K1162" s="18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7"/>
      <c r="B1163" s="8"/>
      <c r="C1163" s="8"/>
      <c r="D1163" s="8"/>
      <c r="E1163" s="8"/>
      <c r="F1163" s="8"/>
      <c r="G1163" s="8"/>
      <c r="H1163" s="8"/>
      <c r="I1163" s="9"/>
      <c r="J1163" s="9"/>
      <c r="K1163" s="18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7"/>
      <c r="B1164" s="8"/>
      <c r="C1164" s="8"/>
      <c r="D1164" s="8"/>
      <c r="E1164" s="8"/>
      <c r="F1164" s="8"/>
      <c r="G1164" s="8"/>
      <c r="H1164" s="8"/>
      <c r="I1164" s="9"/>
      <c r="J1164" s="9"/>
      <c r="K1164" s="18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7"/>
      <c r="B1165" s="8"/>
      <c r="C1165" s="8"/>
      <c r="D1165" s="8"/>
      <c r="E1165" s="8"/>
      <c r="F1165" s="8"/>
      <c r="G1165" s="8"/>
      <c r="H1165" s="8"/>
      <c r="I1165" s="9"/>
      <c r="J1165" s="9"/>
      <c r="K1165" s="18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7"/>
      <c r="B1166" s="8"/>
      <c r="C1166" s="8"/>
      <c r="D1166" s="8"/>
      <c r="E1166" s="8"/>
      <c r="F1166" s="8"/>
      <c r="G1166" s="8"/>
      <c r="H1166" s="8"/>
      <c r="I1166" s="9"/>
      <c r="J1166" s="9"/>
      <c r="K1166" s="18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7"/>
      <c r="B1167" s="8"/>
      <c r="C1167" s="8"/>
      <c r="D1167" s="8"/>
      <c r="E1167" s="8"/>
      <c r="F1167" s="8"/>
      <c r="G1167" s="8"/>
      <c r="H1167" s="8"/>
      <c r="I1167" s="9"/>
      <c r="J1167" s="9"/>
      <c r="K1167" s="18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7"/>
      <c r="B1168" s="8"/>
      <c r="C1168" s="8"/>
      <c r="D1168" s="8"/>
      <c r="E1168" s="8"/>
      <c r="F1168" s="8"/>
      <c r="G1168" s="8"/>
      <c r="H1168" s="8"/>
      <c r="I1168" s="9"/>
      <c r="J1168" s="9"/>
      <c r="K1168" s="18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7"/>
      <c r="B1169" s="8"/>
      <c r="C1169" s="8"/>
      <c r="D1169" s="8"/>
      <c r="E1169" s="8"/>
      <c r="F1169" s="8"/>
      <c r="G1169" s="8"/>
      <c r="H1169" s="8"/>
      <c r="I1169" s="9"/>
      <c r="J1169" s="9"/>
      <c r="K1169" s="18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7"/>
      <c r="B1170" s="8"/>
      <c r="C1170" s="8"/>
      <c r="D1170" s="8"/>
      <c r="E1170" s="8"/>
      <c r="F1170" s="8"/>
      <c r="G1170" s="8"/>
      <c r="H1170" s="8"/>
      <c r="I1170" s="9"/>
      <c r="J1170" s="9"/>
      <c r="K1170" s="18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7"/>
      <c r="B1171" s="8"/>
      <c r="C1171" s="8"/>
      <c r="D1171" s="8"/>
      <c r="E1171" s="8"/>
      <c r="F1171" s="8"/>
      <c r="G1171" s="8"/>
      <c r="H1171" s="8"/>
      <c r="I1171" s="9"/>
      <c r="J1171" s="9"/>
      <c r="K1171" s="18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7"/>
      <c r="B1172" s="8"/>
      <c r="C1172" s="8"/>
      <c r="D1172" s="8"/>
      <c r="E1172" s="8"/>
      <c r="F1172" s="8"/>
      <c r="G1172" s="8"/>
      <c r="H1172" s="8"/>
      <c r="I1172" s="9"/>
      <c r="J1172" s="9"/>
      <c r="K1172" s="18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7"/>
      <c r="B1173" s="8"/>
      <c r="C1173" s="8"/>
      <c r="D1173" s="8"/>
      <c r="E1173" s="8"/>
      <c r="F1173" s="8"/>
      <c r="G1173" s="8"/>
      <c r="H1173" s="8"/>
      <c r="I1173" s="9"/>
      <c r="J1173" s="9"/>
      <c r="K1173" s="18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7"/>
      <c r="B1174" s="8"/>
      <c r="C1174" s="8"/>
      <c r="D1174" s="8"/>
      <c r="E1174" s="8"/>
      <c r="F1174" s="8"/>
      <c r="G1174" s="8"/>
      <c r="H1174" s="8"/>
      <c r="I1174" s="9"/>
      <c r="J1174" s="9"/>
      <c r="K1174" s="18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7"/>
      <c r="B1175" s="8"/>
      <c r="C1175" s="8"/>
      <c r="D1175" s="8"/>
      <c r="E1175" s="8"/>
      <c r="F1175" s="8"/>
      <c r="G1175" s="8"/>
      <c r="H1175" s="8"/>
      <c r="I1175" s="9"/>
      <c r="J1175" s="9"/>
      <c r="K1175" s="18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7"/>
      <c r="B1176" s="8"/>
      <c r="C1176" s="8"/>
      <c r="D1176" s="8"/>
      <c r="E1176" s="8"/>
      <c r="F1176" s="8"/>
      <c r="G1176" s="8"/>
      <c r="H1176" s="8"/>
      <c r="I1176" s="9"/>
      <c r="J1176" s="9"/>
      <c r="K1176" s="18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7"/>
      <c r="B1177" s="8"/>
      <c r="C1177" s="8"/>
      <c r="D1177" s="8"/>
      <c r="E1177" s="8"/>
      <c r="F1177" s="8"/>
      <c r="G1177" s="8"/>
      <c r="H1177" s="8"/>
      <c r="I1177" s="9"/>
      <c r="J1177" s="9"/>
      <c r="K1177" s="18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7"/>
      <c r="B1178" s="8"/>
      <c r="C1178" s="8"/>
      <c r="D1178" s="8"/>
      <c r="E1178" s="8"/>
      <c r="F1178" s="8"/>
      <c r="G1178" s="8"/>
      <c r="H1178" s="8"/>
      <c r="I1178" s="9"/>
      <c r="J1178" s="9"/>
      <c r="K1178" s="18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7"/>
      <c r="B1179" s="8"/>
      <c r="C1179" s="8"/>
      <c r="D1179" s="8"/>
      <c r="E1179" s="8"/>
      <c r="F1179" s="8"/>
      <c r="G1179" s="8"/>
      <c r="H1179" s="8"/>
      <c r="I1179" s="9"/>
      <c r="J1179" s="9"/>
      <c r="K1179" s="18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7"/>
      <c r="B1180" s="8"/>
      <c r="C1180" s="8"/>
      <c r="D1180" s="8"/>
      <c r="E1180" s="8"/>
      <c r="F1180" s="8"/>
      <c r="G1180" s="8"/>
      <c r="H1180" s="8"/>
      <c r="I1180" s="9"/>
      <c r="J1180" s="9"/>
      <c r="K1180" s="18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7"/>
      <c r="B1181" s="8"/>
      <c r="C1181" s="8"/>
      <c r="D1181" s="8"/>
      <c r="E1181" s="8"/>
      <c r="F1181" s="8"/>
      <c r="G1181" s="8"/>
      <c r="H1181" s="8"/>
      <c r="I1181" s="9"/>
      <c r="J1181" s="9"/>
      <c r="K1181" s="18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7"/>
      <c r="B1182" s="8"/>
      <c r="C1182" s="8"/>
      <c r="D1182" s="8"/>
      <c r="E1182" s="8"/>
      <c r="F1182" s="8"/>
      <c r="G1182" s="8"/>
      <c r="H1182" s="8"/>
      <c r="I1182" s="9"/>
      <c r="J1182" s="9"/>
      <c r="K1182" s="18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7"/>
      <c r="B1183" s="8"/>
      <c r="C1183" s="8"/>
      <c r="D1183" s="8"/>
      <c r="E1183" s="8"/>
      <c r="F1183" s="8"/>
      <c r="G1183" s="8"/>
      <c r="H1183" s="8"/>
      <c r="I1183" s="9"/>
      <c r="J1183" s="9"/>
      <c r="K1183" s="18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7"/>
      <c r="B1184" s="8"/>
      <c r="C1184" s="8"/>
      <c r="D1184" s="8"/>
      <c r="E1184" s="8"/>
      <c r="F1184" s="8"/>
      <c r="G1184" s="8"/>
      <c r="H1184" s="8"/>
      <c r="I1184" s="9"/>
      <c r="J1184" s="9"/>
      <c r="K1184" s="18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7"/>
      <c r="B1185" s="8"/>
      <c r="C1185" s="8"/>
      <c r="D1185" s="8"/>
      <c r="E1185" s="8"/>
      <c r="F1185" s="8"/>
      <c r="G1185" s="8"/>
      <c r="H1185" s="8"/>
      <c r="I1185" s="9"/>
      <c r="J1185" s="9"/>
      <c r="K1185" s="18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7"/>
      <c r="B1186" s="8"/>
      <c r="C1186" s="8"/>
      <c r="D1186" s="8"/>
      <c r="E1186" s="8"/>
      <c r="F1186" s="8"/>
      <c r="G1186" s="8"/>
      <c r="H1186" s="8"/>
      <c r="I1186" s="9"/>
      <c r="J1186" s="9"/>
      <c r="K1186" s="18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7"/>
      <c r="B1187" s="8"/>
      <c r="C1187" s="8"/>
      <c r="D1187" s="8"/>
      <c r="E1187" s="8"/>
      <c r="F1187" s="8"/>
      <c r="G1187" s="8"/>
      <c r="H1187" s="8"/>
      <c r="I1187" s="9"/>
      <c r="J1187" s="9"/>
      <c r="K1187" s="18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7"/>
      <c r="B1188" s="8"/>
      <c r="C1188" s="8"/>
      <c r="D1188" s="8"/>
      <c r="E1188" s="8"/>
      <c r="F1188" s="8"/>
      <c r="G1188" s="8"/>
      <c r="H1188" s="8"/>
      <c r="I1188" s="9"/>
      <c r="J1188" s="9"/>
      <c r="K1188" s="18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7"/>
      <c r="B1189" s="8"/>
      <c r="C1189" s="8"/>
      <c r="D1189" s="8"/>
      <c r="E1189" s="8"/>
      <c r="F1189" s="8"/>
      <c r="G1189" s="8"/>
      <c r="H1189" s="8"/>
      <c r="I1189" s="9"/>
      <c r="J1189" s="9"/>
      <c r="K1189" s="18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7"/>
      <c r="B1190" s="8"/>
      <c r="C1190" s="8"/>
      <c r="D1190" s="8"/>
      <c r="E1190" s="8"/>
      <c r="F1190" s="8"/>
      <c r="G1190" s="8"/>
      <c r="H1190" s="8"/>
      <c r="I1190" s="9"/>
      <c r="J1190" s="9"/>
      <c r="K1190" s="18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7"/>
      <c r="B1191" s="8"/>
      <c r="C1191" s="8"/>
      <c r="D1191" s="8"/>
      <c r="E1191" s="8"/>
      <c r="F1191" s="19"/>
      <c r="G1191" s="8"/>
      <c r="H1191" s="8"/>
      <c r="I1191" s="9"/>
      <c r="J1191" s="9"/>
      <c r="K1191" s="18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7"/>
      <c r="B1192" s="8"/>
      <c r="C1192" s="8"/>
      <c r="D1192" s="8"/>
      <c r="E1192" s="8"/>
      <c r="F1192" s="8"/>
      <c r="G1192" s="8"/>
      <c r="H1192" s="8"/>
      <c r="I1192" s="9"/>
      <c r="J1192" s="9"/>
      <c r="K1192" s="18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7"/>
      <c r="B1193" s="8"/>
      <c r="C1193" s="8"/>
      <c r="D1193" s="8"/>
      <c r="E1193" s="8"/>
      <c r="F1193" s="8"/>
      <c r="G1193" s="8"/>
      <c r="H1193" s="8"/>
      <c r="I1193" s="9"/>
      <c r="J1193" s="9"/>
      <c r="K1193" s="18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7"/>
      <c r="B1194" s="8"/>
      <c r="C1194" s="8"/>
      <c r="D1194" s="8"/>
      <c r="E1194" s="8"/>
      <c r="F1194" s="8"/>
      <c r="G1194" s="8"/>
      <c r="H1194" s="8"/>
      <c r="I1194" s="9"/>
      <c r="J1194" s="9"/>
      <c r="K1194" s="18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7"/>
      <c r="B1195" s="8"/>
      <c r="C1195" s="8"/>
      <c r="D1195" s="8"/>
      <c r="E1195" s="8"/>
      <c r="F1195" s="8"/>
      <c r="G1195" s="8"/>
      <c r="H1195" s="8"/>
      <c r="I1195" s="9"/>
      <c r="J1195" s="9"/>
      <c r="K1195" s="18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7"/>
      <c r="B1196" s="8"/>
      <c r="C1196" s="8"/>
      <c r="D1196" s="8"/>
      <c r="E1196" s="8"/>
      <c r="F1196" s="8"/>
      <c r="G1196" s="8"/>
      <c r="H1196" s="8"/>
      <c r="I1196" s="9"/>
      <c r="J1196" s="9"/>
      <c r="K1196" s="18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7"/>
      <c r="B1197" s="8"/>
      <c r="C1197" s="8"/>
      <c r="D1197" s="8"/>
      <c r="E1197" s="8"/>
      <c r="F1197" s="8"/>
      <c r="G1197" s="8"/>
      <c r="H1197" s="8"/>
      <c r="I1197" s="9"/>
      <c r="J1197" s="9"/>
      <c r="K1197" s="18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7"/>
      <c r="B1198" s="8"/>
      <c r="C1198" s="8"/>
      <c r="D1198" s="8"/>
      <c r="E1198" s="8"/>
      <c r="F1198" s="8"/>
      <c r="G1198" s="8"/>
      <c r="H1198" s="8"/>
      <c r="I1198" s="9"/>
      <c r="J1198" s="9"/>
      <c r="K1198" s="18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7"/>
      <c r="B1199" s="8"/>
      <c r="C1199" s="8"/>
      <c r="D1199" s="8"/>
      <c r="E1199" s="8"/>
      <c r="F1199" s="8"/>
      <c r="G1199" s="8"/>
      <c r="H1199" s="8"/>
      <c r="I1199" s="9"/>
      <c r="J1199" s="9"/>
      <c r="K1199" s="18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7"/>
      <c r="B1200" s="8"/>
      <c r="C1200" s="8"/>
      <c r="D1200" s="8"/>
      <c r="E1200" s="8"/>
      <c r="F1200" s="8"/>
      <c r="G1200" s="8"/>
      <c r="H1200" s="8"/>
      <c r="I1200" s="9"/>
      <c r="J1200" s="9"/>
      <c r="K1200" s="18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7"/>
      <c r="B1201" s="8"/>
      <c r="C1201" s="8"/>
      <c r="D1201" s="8"/>
      <c r="E1201" s="8"/>
      <c r="F1201" s="8"/>
      <c r="G1201" s="8"/>
      <c r="H1201" s="8"/>
      <c r="I1201" s="9"/>
      <c r="J1201" s="9"/>
      <c r="K1201" s="18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7"/>
      <c r="B1202" s="8"/>
      <c r="C1202" s="8"/>
      <c r="D1202" s="8"/>
      <c r="E1202" s="8"/>
      <c r="F1202" s="8"/>
      <c r="G1202" s="8"/>
      <c r="H1202" s="8"/>
      <c r="I1202" s="9"/>
      <c r="J1202" s="9"/>
      <c r="K1202" s="18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7"/>
      <c r="B1203" s="8"/>
      <c r="C1203" s="8"/>
      <c r="D1203" s="8"/>
      <c r="E1203" s="8"/>
      <c r="F1203" s="8"/>
      <c r="G1203" s="8"/>
      <c r="H1203" s="8"/>
      <c r="I1203" s="9"/>
      <c r="J1203" s="9"/>
      <c r="K1203" s="18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7"/>
      <c r="B1204" s="8"/>
      <c r="C1204" s="8"/>
      <c r="D1204" s="8"/>
      <c r="E1204" s="8"/>
      <c r="F1204" s="8"/>
      <c r="G1204" s="8"/>
      <c r="H1204" s="8"/>
      <c r="I1204" s="9"/>
      <c r="J1204" s="9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7"/>
      <c r="B1205" s="8"/>
      <c r="C1205" s="8"/>
      <c r="D1205" s="8"/>
      <c r="E1205" s="8"/>
      <c r="F1205" s="8"/>
      <c r="G1205" s="8"/>
      <c r="H1205" s="8"/>
      <c r="I1205" s="9"/>
      <c r="J1205" s="9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7"/>
      <c r="B1206" s="8"/>
      <c r="C1206" s="8"/>
      <c r="D1206" s="8"/>
      <c r="E1206" s="8"/>
      <c r="F1206" s="8"/>
      <c r="G1206" s="8"/>
      <c r="H1206" s="8"/>
      <c r="I1206" s="9"/>
      <c r="J1206" s="9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7"/>
      <c r="B1207" s="8"/>
      <c r="C1207" s="8"/>
      <c r="D1207" s="8"/>
      <c r="E1207" s="8"/>
      <c r="F1207" s="8"/>
      <c r="G1207" s="8"/>
      <c r="H1207" s="8"/>
      <c r="I1207" s="9"/>
      <c r="J1207" s="9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7"/>
      <c r="B1208" s="8"/>
      <c r="C1208" s="8"/>
      <c r="D1208" s="8"/>
      <c r="E1208" s="8"/>
      <c r="F1208" s="8"/>
      <c r="G1208" s="8"/>
      <c r="H1208" s="8"/>
      <c r="I1208" s="9"/>
      <c r="J1208" s="9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7"/>
      <c r="B1209" s="8"/>
      <c r="C1209" s="8"/>
      <c r="D1209" s="8"/>
      <c r="E1209" s="8"/>
      <c r="F1209" s="8"/>
      <c r="G1209" s="8"/>
      <c r="H1209" s="8"/>
      <c r="I1209" s="9"/>
      <c r="J1209" s="9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7"/>
      <c r="B1210" s="8"/>
      <c r="C1210" s="8"/>
      <c r="D1210" s="8"/>
      <c r="E1210" s="8"/>
      <c r="F1210" s="8"/>
      <c r="G1210" s="8"/>
      <c r="H1210" s="8"/>
      <c r="I1210" s="9"/>
      <c r="J1210" s="9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7"/>
      <c r="B1211" s="8"/>
      <c r="C1211" s="8"/>
      <c r="D1211" s="8"/>
      <c r="E1211" s="8"/>
      <c r="F1211" s="8"/>
      <c r="G1211" s="8"/>
      <c r="H1211" s="8"/>
      <c r="I1211" s="9"/>
      <c r="J1211" s="9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7"/>
      <c r="B1212" s="8"/>
      <c r="C1212" s="8"/>
      <c r="D1212" s="8"/>
      <c r="E1212" s="8"/>
      <c r="F1212" s="8"/>
      <c r="G1212" s="8"/>
      <c r="H1212" s="8"/>
      <c r="I1212" s="9"/>
      <c r="J1212" s="9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7"/>
      <c r="B1213" s="8"/>
      <c r="C1213" s="8"/>
      <c r="D1213" s="8"/>
      <c r="E1213" s="8"/>
      <c r="F1213" s="8"/>
      <c r="G1213" s="8"/>
      <c r="H1213" s="8"/>
      <c r="I1213" s="9"/>
      <c r="J1213" s="9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7"/>
      <c r="B1214" s="8"/>
      <c r="C1214" s="8"/>
      <c r="D1214" s="8"/>
      <c r="E1214" s="8"/>
      <c r="F1214" s="8"/>
      <c r="G1214" s="8"/>
      <c r="H1214" s="8"/>
      <c r="I1214" s="9"/>
      <c r="J1214" s="9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7"/>
      <c r="B1215" s="8"/>
      <c r="C1215" s="8"/>
      <c r="D1215" s="8"/>
      <c r="E1215" s="8"/>
      <c r="F1215" s="8"/>
      <c r="G1215" s="8"/>
      <c r="H1215" s="8"/>
      <c r="I1215" s="9"/>
      <c r="J1215" s="9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7"/>
      <c r="B1216" s="8"/>
      <c r="C1216" s="8"/>
      <c r="D1216" s="8"/>
      <c r="E1216" s="8"/>
      <c r="F1216" s="8"/>
      <c r="G1216" s="8"/>
      <c r="H1216" s="8"/>
      <c r="I1216" s="9"/>
      <c r="J1216" s="9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7"/>
      <c r="B1217" s="8"/>
      <c r="C1217" s="8"/>
      <c r="D1217" s="8"/>
      <c r="E1217" s="8"/>
      <c r="F1217" s="8"/>
      <c r="G1217" s="8"/>
      <c r="H1217" s="8"/>
      <c r="I1217" s="9"/>
      <c r="J1217" s="9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7"/>
      <c r="B1218" s="8"/>
      <c r="C1218" s="8"/>
      <c r="D1218" s="8"/>
      <c r="E1218" s="8"/>
      <c r="F1218" s="8"/>
      <c r="G1218" s="8"/>
      <c r="H1218" s="8"/>
      <c r="I1218" s="9"/>
      <c r="J1218" s="9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7"/>
      <c r="B1219" s="8"/>
      <c r="C1219" s="8"/>
      <c r="D1219" s="8"/>
      <c r="E1219" s="8"/>
      <c r="F1219" s="8"/>
      <c r="G1219" s="8"/>
      <c r="H1219" s="8"/>
      <c r="I1219" s="9"/>
      <c r="J1219" s="9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7"/>
      <c r="B1220" s="8"/>
      <c r="C1220" s="8"/>
      <c r="D1220" s="8"/>
      <c r="E1220" s="8"/>
      <c r="F1220" s="8"/>
      <c r="G1220" s="8"/>
      <c r="H1220" s="8"/>
      <c r="I1220" s="9"/>
      <c r="J1220" s="9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7"/>
      <c r="B1221" s="8"/>
      <c r="C1221" s="8"/>
      <c r="D1221" s="8"/>
      <c r="E1221" s="8"/>
      <c r="F1221" s="8"/>
      <c r="G1221" s="8"/>
      <c r="H1221" s="8"/>
      <c r="I1221" s="9"/>
      <c r="J1221" s="9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7"/>
      <c r="B1222" s="8"/>
      <c r="C1222" s="8"/>
      <c r="D1222" s="8"/>
      <c r="E1222" s="8"/>
      <c r="F1222" s="8"/>
      <c r="G1222" s="8"/>
      <c r="H1222" s="8"/>
      <c r="I1222" s="9"/>
      <c r="J1222" s="9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7"/>
      <c r="B1223" s="8"/>
      <c r="C1223" s="8"/>
      <c r="D1223" s="8"/>
      <c r="E1223" s="8"/>
      <c r="F1223" s="8"/>
      <c r="G1223" s="8"/>
      <c r="H1223" s="8"/>
      <c r="I1223" s="9"/>
      <c r="J1223" s="9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7"/>
      <c r="B1224" s="8"/>
      <c r="C1224" s="8"/>
      <c r="D1224" s="8"/>
      <c r="E1224" s="8"/>
      <c r="F1224" s="8"/>
      <c r="G1224" s="8"/>
      <c r="H1224" s="8"/>
      <c r="I1224" s="9"/>
      <c r="J1224" s="9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7"/>
      <c r="B1225" s="8"/>
      <c r="C1225" s="8"/>
      <c r="D1225" s="8"/>
      <c r="E1225" s="8"/>
      <c r="F1225" s="8"/>
      <c r="G1225" s="8"/>
      <c r="H1225" s="8"/>
      <c r="I1225" s="9"/>
      <c r="J1225" s="9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7"/>
      <c r="B1226" s="8"/>
      <c r="C1226" s="8"/>
      <c r="D1226" s="8"/>
      <c r="E1226" s="8"/>
      <c r="F1226" s="8"/>
      <c r="G1226" s="8"/>
      <c r="H1226" s="8"/>
      <c r="I1226" s="9"/>
      <c r="J1226" s="9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7"/>
      <c r="B1227" s="8"/>
      <c r="C1227" s="8"/>
      <c r="D1227" s="8"/>
      <c r="E1227" s="8"/>
      <c r="F1227" s="8"/>
      <c r="G1227" s="8"/>
      <c r="H1227" s="8"/>
      <c r="I1227" s="9"/>
      <c r="J1227" s="9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7"/>
      <c r="B1228" s="8"/>
      <c r="C1228" s="8"/>
      <c r="D1228" s="8"/>
      <c r="E1228" s="8"/>
      <c r="F1228" s="8"/>
      <c r="G1228" s="8"/>
      <c r="H1228" s="8"/>
      <c r="I1228" s="9"/>
      <c r="J1228" s="9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7"/>
      <c r="B1229" s="8"/>
      <c r="C1229" s="8"/>
      <c r="D1229" s="8"/>
      <c r="E1229" s="8"/>
      <c r="F1229" s="8"/>
      <c r="G1229" s="8"/>
      <c r="H1229" s="8"/>
      <c r="I1229" s="9"/>
      <c r="J1229" s="9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7"/>
      <c r="B1230" s="8"/>
      <c r="C1230" s="8"/>
      <c r="D1230" s="8"/>
      <c r="E1230" s="8"/>
      <c r="F1230" s="8"/>
      <c r="G1230" s="8"/>
      <c r="H1230" s="8"/>
      <c r="I1230" s="9"/>
      <c r="J1230" s="9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7"/>
      <c r="B1231" s="8"/>
      <c r="C1231" s="8"/>
      <c r="D1231" s="8"/>
      <c r="E1231" s="8"/>
      <c r="F1231" s="8"/>
      <c r="G1231" s="8"/>
      <c r="H1231" s="8"/>
      <c r="I1231" s="9"/>
      <c r="J1231" s="9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7"/>
      <c r="B1232" s="8"/>
      <c r="C1232" s="8"/>
      <c r="D1232" s="8"/>
      <c r="E1232" s="8"/>
      <c r="F1232" s="8"/>
      <c r="G1232" s="8"/>
      <c r="H1232" s="8"/>
      <c r="I1232" s="9"/>
      <c r="J1232" s="9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7"/>
      <c r="B1233" s="8"/>
      <c r="C1233" s="8"/>
      <c r="D1233" s="8"/>
      <c r="E1233" s="8"/>
      <c r="F1233" s="8"/>
      <c r="G1233" s="8"/>
      <c r="H1233" s="8"/>
      <c r="I1233" s="9"/>
      <c r="J1233" s="9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7"/>
      <c r="B1234" s="8"/>
      <c r="C1234" s="8"/>
      <c r="D1234" s="8"/>
      <c r="E1234" s="8"/>
      <c r="F1234" s="8"/>
      <c r="G1234" s="8"/>
      <c r="H1234" s="8"/>
      <c r="I1234" s="9"/>
      <c r="J1234" s="9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7"/>
      <c r="B1235" s="8"/>
      <c r="C1235" s="8"/>
      <c r="D1235" s="8"/>
      <c r="E1235" s="8"/>
      <c r="F1235" s="8"/>
      <c r="G1235" s="8"/>
      <c r="H1235" s="8"/>
      <c r="I1235" s="9"/>
      <c r="J1235" s="9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7"/>
      <c r="B1236" s="8"/>
      <c r="C1236" s="8"/>
      <c r="D1236" s="8"/>
      <c r="E1236" s="8"/>
      <c r="F1236" s="8"/>
      <c r="G1236" s="8"/>
      <c r="H1236" s="8"/>
      <c r="I1236" s="9"/>
      <c r="J1236" s="9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7"/>
      <c r="B1237" s="8"/>
      <c r="C1237" s="8"/>
      <c r="D1237" s="8"/>
      <c r="E1237" s="8"/>
      <c r="F1237" s="8"/>
      <c r="G1237" s="8"/>
      <c r="H1237" s="8"/>
      <c r="I1237" s="9"/>
      <c r="J1237" s="9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7"/>
      <c r="B1238" s="8"/>
      <c r="C1238" s="8"/>
      <c r="D1238" s="8"/>
      <c r="E1238" s="8"/>
      <c r="F1238" s="8"/>
      <c r="G1238" s="8"/>
      <c r="H1238" s="8"/>
      <c r="I1238" s="9"/>
      <c r="J1238" s="9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7"/>
      <c r="B1239" s="8"/>
      <c r="C1239" s="8"/>
      <c r="D1239" s="8"/>
      <c r="E1239" s="8"/>
      <c r="F1239" s="8"/>
      <c r="G1239" s="8"/>
      <c r="H1239" s="8"/>
      <c r="I1239" s="9"/>
      <c r="J1239" s="9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7"/>
      <c r="B1240" s="8"/>
      <c r="C1240" s="8"/>
      <c r="D1240" s="8"/>
      <c r="E1240" s="8"/>
      <c r="F1240" s="8"/>
      <c r="G1240" s="8"/>
      <c r="H1240" s="8"/>
      <c r="I1240" s="9"/>
      <c r="J1240" s="9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7"/>
      <c r="B1241" s="8"/>
      <c r="C1241" s="8"/>
      <c r="D1241" s="8"/>
      <c r="E1241" s="8"/>
      <c r="F1241" s="8"/>
      <c r="G1241" s="8"/>
      <c r="H1241" s="8"/>
      <c r="I1241" s="9"/>
      <c r="J1241" s="9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7"/>
      <c r="B1242" s="8"/>
      <c r="C1242" s="8"/>
      <c r="D1242" s="8"/>
      <c r="E1242" s="8"/>
      <c r="F1242" s="8"/>
      <c r="G1242" s="8"/>
      <c r="H1242" s="8"/>
      <c r="I1242" s="9"/>
      <c r="J1242" s="9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7"/>
      <c r="B1243" s="8"/>
      <c r="C1243" s="8"/>
      <c r="D1243" s="8"/>
      <c r="E1243" s="8"/>
      <c r="F1243" s="8"/>
      <c r="G1243" s="8"/>
      <c r="H1243" s="8"/>
      <c r="I1243" s="9"/>
      <c r="J1243" s="9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7"/>
      <c r="B1244" s="8"/>
      <c r="C1244" s="8"/>
      <c r="D1244" s="8"/>
      <c r="E1244" s="8"/>
      <c r="F1244" s="8"/>
      <c r="G1244" s="8"/>
      <c r="H1244" s="8"/>
      <c r="I1244" s="9"/>
      <c r="J1244" s="9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7"/>
      <c r="B1245" s="8"/>
      <c r="C1245" s="8"/>
      <c r="D1245" s="8"/>
      <c r="E1245" s="8"/>
      <c r="F1245" s="8"/>
      <c r="G1245" s="8"/>
      <c r="H1245" s="8"/>
      <c r="I1245" s="9"/>
      <c r="J1245" s="9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7"/>
      <c r="B1246" s="8"/>
      <c r="C1246" s="8"/>
      <c r="D1246" s="8"/>
      <c r="E1246" s="8"/>
      <c r="F1246" s="8"/>
      <c r="G1246" s="8"/>
      <c r="H1246" s="8"/>
      <c r="I1246" s="9"/>
      <c r="J1246" s="9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7"/>
      <c r="B1247" s="8"/>
      <c r="C1247" s="8"/>
      <c r="D1247" s="8"/>
      <c r="E1247" s="8"/>
      <c r="F1247" s="8"/>
      <c r="G1247" s="8"/>
      <c r="H1247" s="8"/>
      <c r="I1247" s="9"/>
      <c r="J1247" s="9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7"/>
      <c r="B1248" s="8"/>
      <c r="C1248" s="8"/>
      <c r="D1248" s="8"/>
      <c r="E1248" s="8"/>
      <c r="F1248" s="8"/>
      <c r="G1248" s="8"/>
      <c r="H1248" s="8"/>
      <c r="I1248" s="9"/>
      <c r="J1248" s="9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7"/>
      <c r="B1249" s="8"/>
      <c r="C1249" s="8"/>
      <c r="D1249" s="8"/>
      <c r="E1249" s="8"/>
      <c r="F1249" s="8"/>
      <c r="G1249" s="8"/>
      <c r="H1249" s="8"/>
      <c r="I1249" s="9"/>
      <c r="J1249" s="9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7"/>
      <c r="B1250" s="8"/>
      <c r="C1250" s="8"/>
      <c r="D1250" s="8"/>
      <c r="E1250" s="8"/>
      <c r="F1250" s="8"/>
      <c r="G1250" s="8"/>
      <c r="H1250" s="8"/>
      <c r="I1250" s="9"/>
      <c r="J1250" s="9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7"/>
      <c r="B1251" s="8"/>
      <c r="C1251" s="8"/>
      <c r="D1251" s="8"/>
      <c r="E1251" s="8"/>
      <c r="F1251" s="8"/>
      <c r="G1251" s="8"/>
      <c r="H1251" s="8"/>
      <c r="I1251" s="9"/>
      <c r="J1251" s="9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7"/>
      <c r="B1252" s="8"/>
      <c r="C1252" s="8"/>
      <c r="D1252" s="8"/>
      <c r="E1252" s="8"/>
      <c r="F1252" s="8"/>
      <c r="G1252" s="8"/>
      <c r="H1252" s="8"/>
      <c r="I1252" s="9"/>
      <c r="J1252" s="9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7"/>
      <c r="B1253" s="8"/>
      <c r="C1253" s="8"/>
      <c r="D1253" s="8"/>
      <c r="E1253" s="8"/>
      <c r="F1253" s="8"/>
      <c r="G1253" s="8"/>
      <c r="H1253" s="8"/>
      <c r="I1253" s="9"/>
      <c r="J1253" s="9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7"/>
      <c r="B1254" s="8"/>
      <c r="C1254" s="8"/>
      <c r="D1254" s="8"/>
      <c r="E1254" s="8"/>
      <c r="F1254" s="8"/>
      <c r="G1254" s="8"/>
      <c r="H1254" s="8"/>
      <c r="I1254" s="9"/>
      <c r="J1254" s="9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7"/>
      <c r="B1255" s="8"/>
      <c r="C1255" s="8"/>
      <c r="D1255" s="8"/>
      <c r="E1255" s="8"/>
      <c r="F1255" s="8"/>
      <c r="G1255" s="8"/>
      <c r="H1255" s="8"/>
      <c r="I1255" s="9"/>
      <c r="J1255" s="9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7"/>
      <c r="B1256" s="8"/>
      <c r="C1256" s="8"/>
      <c r="D1256" s="8"/>
      <c r="E1256" s="8"/>
      <c r="F1256" s="8"/>
      <c r="G1256" s="8"/>
      <c r="H1256" s="8"/>
      <c r="I1256" s="9"/>
      <c r="J1256" s="9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7"/>
      <c r="B1257" s="8"/>
      <c r="C1257" s="8"/>
      <c r="D1257" s="8"/>
      <c r="E1257" s="8"/>
      <c r="F1257" s="8"/>
      <c r="G1257" s="8"/>
      <c r="H1257" s="8"/>
      <c r="I1257" s="9"/>
      <c r="J1257" s="9"/>
      <c r="K1257" s="18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11"/>
      <c r="B1258" s="11"/>
      <c r="C1258" s="11"/>
      <c r="D1258" s="11"/>
      <c r="E1258" s="11"/>
      <c r="F1258" s="11"/>
      <c r="G1258" s="11"/>
      <c r="H1258" s="11"/>
      <c r="I1258" s="20"/>
      <c r="J1258" s="20"/>
      <c r="K1258" s="21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11"/>
      <c r="B1259" s="11"/>
      <c r="C1259" s="11"/>
      <c r="D1259" s="11"/>
      <c r="E1259" s="11"/>
      <c r="F1259" s="11"/>
      <c r="G1259" s="11"/>
      <c r="H1259" s="11"/>
      <c r="I1259" s="20"/>
      <c r="J1259" s="20"/>
      <c r="K1259" s="21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11"/>
      <c r="B1260" s="11"/>
      <c r="C1260" s="11"/>
      <c r="D1260" s="11"/>
      <c r="E1260" s="11"/>
      <c r="F1260" s="11"/>
      <c r="G1260" s="11"/>
      <c r="H1260" s="11"/>
      <c r="I1260" s="20"/>
      <c r="J1260" s="20"/>
      <c r="K1260" s="21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11"/>
      <c r="B1261" s="11"/>
      <c r="C1261" s="11"/>
      <c r="D1261" s="11"/>
      <c r="E1261" s="11"/>
      <c r="F1261" s="11"/>
      <c r="G1261" s="11"/>
      <c r="H1261" s="11"/>
      <c r="I1261" s="20"/>
      <c r="J1261" s="20"/>
      <c r="K1261" s="21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11"/>
      <c r="B1262" s="11"/>
      <c r="C1262" s="11"/>
      <c r="D1262" s="11"/>
      <c r="E1262" s="11"/>
      <c r="F1262" s="11"/>
      <c r="G1262" s="11"/>
      <c r="H1262" s="11"/>
      <c r="I1262" s="20"/>
      <c r="J1262" s="20"/>
      <c r="K1262" s="21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11"/>
      <c r="B1263" s="11"/>
      <c r="C1263" s="11"/>
      <c r="D1263" s="11"/>
      <c r="E1263" s="11"/>
      <c r="F1263" s="11"/>
      <c r="G1263" s="11"/>
      <c r="H1263" s="11"/>
      <c r="I1263" s="20"/>
      <c r="J1263" s="20"/>
      <c r="K1263" s="21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11"/>
      <c r="B1264" s="11"/>
      <c r="C1264" s="11"/>
      <c r="D1264" s="11"/>
      <c r="E1264" s="11"/>
      <c r="F1264" s="11"/>
      <c r="G1264" s="11"/>
      <c r="H1264" s="11"/>
      <c r="I1264" s="20"/>
      <c r="J1264" s="20"/>
      <c r="K1264" s="21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11"/>
      <c r="B1265" s="11"/>
      <c r="C1265" s="11"/>
      <c r="D1265" s="11"/>
      <c r="E1265" s="11"/>
      <c r="F1265" s="11"/>
      <c r="G1265" s="11"/>
      <c r="H1265" s="11"/>
      <c r="I1265" s="20"/>
      <c r="J1265" s="20"/>
      <c r="K1265" s="21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22"/>
      <c r="B1266" s="3"/>
      <c r="C1266" s="3"/>
      <c r="D1266" s="3"/>
      <c r="E1266" s="3"/>
      <c r="F1266" s="3"/>
      <c r="G1266" s="3"/>
      <c r="H1266" s="3"/>
      <c r="I1266" s="2"/>
      <c r="J1266" s="2"/>
      <c r="K1266" s="2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22"/>
      <c r="B1267" s="3"/>
      <c r="C1267" s="3"/>
      <c r="D1267" s="3"/>
      <c r="E1267" s="3"/>
      <c r="F1267" s="3"/>
      <c r="G1267" s="3"/>
      <c r="H1267" s="3"/>
      <c r="I1267" s="2"/>
      <c r="J1267" s="2"/>
      <c r="K1267" s="2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22"/>
      <c r="B1268" s="3"/>
      <c r="C1268" s="3"/>
      <c r="D1268" s="3"/>
      <c r="E1268" s="3"/>
      <c r="F1268" s="3"/>
      <c r="G1268" s="3"/>
      <c r="H1268" s="3"/>
      <c r="I1268" s="2"/>
      <c r="J1268" s="2"/>
      <c r="K1268" s="2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22"/>
      <c r="B1269" s="3"/>
      <c r="C1269" s="3"/>
      <c r="D1269" s="3"/>
      <c r="E1269" s="3"/>
      <c r="F1269" s="3"/>
      <c r="G1269" s="3"/>
      <c r="H1269" s="3"/>
      <c r="I1269" s="2"/>
      <c r="J1269" s="2"/>
      <c r="K1269" s="2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22"/>
      <c r="B1270" s="3"/>
      <c r="C1270" s="3"/>
      <c r="D1270" s="3"/>
      <c r="E1270" s="3"/>
      <c r="F1270" s="3"/>
      <c r="G1270" s="3"/>
      <c r="H1270" s="3"/>
      <c r="I1270" s="2"/>
      <c r="J1270" s="2"/>
      <c r="K1270" s="2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22"/>
      <c r="B1271" s="3"/>
      <c r="C1271" s="3"/>
      <c r="D1271" s="3"/>
      <c r="E1271" s="3"/>
      <c r="F1271" s="3"/>
      <c r="G1271" s="3"/>
      <c r="H1271" s="3"/>
      <c r="I1271" s="2"/>
      <c r="J1271" s="2"/>
      <c r="K1271" s="2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22"/>
      <c r="B1272" s="3"/>
      <c r="C1272" s="3"/>
      <c r="D1272" s="3"/>
      <c r="E1272" s="3"/>
      <c r="F1272" s="3"/>
      <c r="G1272" s="3"/>
      <c r="H1272" s="3"/>
      <c r="I1272" s="2"/>
      <c r="J1272" s="2"/>
      <c r="K1272" s="2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7"/>
      <c r="B1273" s="8"/>
      <c r="C1273" s="8"/>
      <c r="D1273" s="8"/>
      <c r="E1273" s="8"/>
      <c r="F1273" s="8"/>
      <c r="G1273" s="8"/>
      <c r="H1273" s="8"/>
      <c r="I1273" s="9"/>
      <c r="J1273" s="9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7"/>
      <c r="B1274" s="8"/>
      <c r="C1274" s="8"/>
      <c r="D1274" s="8"/>
      <c r="E1274" s="8"/>
      <c r="F1274" s="8"/>
      <c r="G1274" s="8"/>
      <c r="H1274" s="8"/>
      <c r="I1274" s="9"/>
      <c r="J1274" s="9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7"/>
      <c r="B1275" s="8"/>
      <c r="C1275" s="8"/>
      <c r="D1275" s="8"/>
      <c r="E1275" s="8"/>
      <c r="F1275" s="8"/>
      <c r="G1275" s="8"/>
      <c r="H1275" s="8"/>
      <c r="I1275" s="9"/>
      <c r="J1275" s="9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7"/>
      <c r="B1276" s="8"/>
      <c r="C1276" s="8"/>
      <c r="D1276" s="8"/>
      <c r="E1276" s="8"/>
      <c r="F1276" s="8"/>
      <c r="G1276" s="8"/>
      <c r="H1276" s="8"/>
      <c r="I1276" s="9"/>
      <c r="J1276" s="9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7"/>
      <c r="B1277" s="8"/>
      <c r="C1277" s="8"/>
      <c r="D1277" s="8"/>
      <c r="E1277" s="8"/>
      <c r="F1277" s="8"/>
      <c r="G1277" s="8"/>
      <c r="H1277" s="8"/>
      <c r="I1277" s="9"/>
      <c r="J1277" s="9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7"/>
      <c r="B1278" s="8"/>
      <c r="C1278" s="8"/>
      <c r="D1278" s="8"/>
      <c r="E1278" s="8"/>
      <c r="F1278" s="8"/>
      <c r="G1278" s="8"/>
      <c r="H1278" s="8"/>
      <c r="I1278" s="9"/>
      <c r="J1278" s="9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7"/>
      <c r="B1279" s="8"/>
      <c r="C1279" s="8"/>
      <c r="D1279" s="8"/>
      <c r="E1279" s="8"/>
      <c r="F1279" s="8"/>
      <c r="G1279" s="8"/>
      <c r="H1279" s="8"/>
      <c r="I1279" s="9"/>
      <c r="J1279" s="9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7"/>
      <c r="B1280" s="8"/>
      <c r="C1280" s="8"/>
      <c r="D1280" s="8"/>
      <c r="E1280" s="8"/>
      <c r="F1280" s="8"/>
      <c r="G1280" s="8"/>
      <c r="H1280" s="8"/>
      <c r="I1280" s="9"/>
      <c r="J1280" s="9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7"/>
      <c r="B1281" s="8"/>
      <c r="C1281" s="8"/>
      <c r="D1281" s="8"/>
      <c r="E1281" s="8"/>
      <c r="F1281" s="8"/>
      <c r="G1281" s="8"/>
      <c r="H1281" s="8"/>
      <c r="I1281" s="9"/>
      <c r="J1281" s="9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7"/>
      <c r="B1282" s="8"/>
      <c r="C1282" s="8"/>
      <c r="D1282" s="8"/>
      <c r="E1282" s="8"/>
      <c r="F1282" s="8"/>
      <c r="G1282" s="8"/>
      <c r="H1282" s="8"/>
      <c r="I1282" s="9"/>
      <c r="J1282" s="9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7"/>
      <c r="B1283" s="8"/>
      <c r="C1283" s="8"/>
      <c r="D1283" s="8"/>
      <c r="E1283" s="8"/>
      <c r="F1283" s="8"/>
      <c r="G1283" s="8"/>
      <c r="H1283" s="8"/>
      <c r="I1283" s="9"/>
      <c r="J1283" s="9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7"/>
      <c r="B1284" s="8"/>
      <c r="C1284" s="8"/>
      <c r="D1284" s="8"/>
      <c r="E1284" s="8"/>
      <c r="F1284" s="8"/>
      <c r="G1284" s="8"/>
      <c r="H1284" s="8"/>
      <c r="I1284" s="9"/>
      <c r="J1284" s="9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7"/>
      <c r="B1285" s="8"/>
      <c r="C1285" s="8"/>
      <c r="D1285" s="8"/>
      <c r="E1285" s="8"/>
      <c r="F1285" s="8"/>
      <c r="G1285" s="8"/>
      <c r="H1285" s="8"/>
      <c r="I1285" s="9"/>
      <c r="J1285" s="9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7"/>
      <c r="B1286" s="8"/>
      <c r="C1286" s="8"/>
      <c r="D1286" s="8"/>
      <c r="E1286" s="8"/>
      <c r="F1286" s="8"/>
      <c r="G1286" s="8"/>
      <c r="H1286" s="8"/>
      <c r="I1286" s="9"/>
      <c r="J1286" s="9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7"/>
      <c r="B1287" s="8"/>
      <c r="C1287" s="8"/>
      <c r="D1287" s="8"/>
      <c r="E1287" s="8"/>
      <c r="F1287" s="8"/>
      <c r="G1287" s="8"/>
      <c r="H1287" s="8"/>
      <c r="I1287" s="9"/>
      <c r="J1287" s="9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7"/>
      <c r="B1288" s="8"/>
      <c r="C1288" s="8"/>
      <c r="D1288" s="8"/>
      <c r="E1288" s="8"/>
      <c r="F1288" s="8"/>
      <c r="G1288" s="8"/>
      <c r="H1288" s="8"/>
      <c r="I1288" s="9"/>
      <c r="J1288" s="9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7"/>
      <c r="B1289" s="8"/>
      <c r="C1289" s="8"/>
      <c r="D1289" s="8"/>
      <c r="E1289" s="8"/>
      <c r="F1289" s="8"/>
      <c r="G1289" s="8"/>
      <c r="H1289" s="8"/>
      <c r="I1289" s="9"/>
      <c r="J1289" s="9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7"/>
      <c r="B1290" s="8"/>
      <c r="C1290" s="8"/>
      <c r="D1290" s="8"/>
      <c r="E1290" s="8"/>
      <c r="F1290" s="8"/>
      <c r="G1290" s="8"/>
      <c r="H1290" s="8"/>
      <c r="I1290" s="9"/>
      <c r="J1290" s="9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7"/>
      <c r="B1291" s="8"/>
      <c r="C1291" s="8"/>
      <c r="D1291" s="8"/>
      <c r="E1291" s="8"/>
      <c r="F1291" s="8"/>
      <c r="G1291" s="8"/>
      <c r="H1291" s="8"/>
      <c r="I1291" s="9"/>
      <c r="J1291" s="9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7"/>
      <c r="B1292" s="8"/>
      <c r="C1292" s="8"/>
      <c r="D1292" s="8"/>
      <c r="E1292" s="8"/>
      <c r="F1292" s="8"/>
      <c r="G1292" s="8"/>
      <c r="H1292" s="8"/>
      <c r="I1292" s="9"/>
      <c r="J1292" s="9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7"/>
      <c r="B1293" s="8"/>
      <c r="C1293" s="8"/>
      <c r="D1293" s="8"/>
      <c r="E1293" s="8"/>
      <c r="F1293" s="8"/>
      <c r="G1293" s="8"/>
      <c r="H1293" s="8"/>
      <c r="I1293" s="9"/>
      <c r="J1293" s="9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7"/>
      <c r="B1294" s="8"/>
      <c r="C1294" s="8"/>
      <c r="D1294" s="8"/>
      <c r="E1294" s="8"/>
      <c r="F1294" s="8"/>
      <c r="G1294" s="8"/>
      <c r="H1294" s="8"/>
      <c r="I1294" s="9"/>
      <c r="J1294" s="9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7"/>
      <c r="B1295" s="8"/>
      <c r="C1295" s="8"/>
      <c r="D1295" s="8"/>
      <c r="E1295" s="8"/>
      <c r="F1295" s="8"/>
      <c r="G1295" s="8"/>
      <c r="H1295" s="8"/>
      <c r="I1295" s="9"/>
      <c r="J1295" s="9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7"/>
      <c r="B1296" s="8"/>
      <c r="C1296" s="8"/>
      <c r="D1296" s="8"/>
      <c r="E1296" s="8"/>
      <c r="F1296" s="8"/>
      <c r="G1296" s="8"/>
      <c r="H1296" s="8"/>
      <c r="I1296" s="9"/>
      <c r="J1296" s="9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7"/>
      <c r="B1297" s="8"/>
      <c r="C1297" s="8"/>
      <c r="D1297" s="8"/>
      <c r="E1297" s="8"/>
      <c r="F1297" s="8"/>
      <c r="G1297" s="8"/>
      <c r="H1297" s="8"/>
      <c r="I1297" s="9"/>
      <c r="J1297" s="9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7"/>
      <c r="B1298" s="8"/>
      <c r="C1298" s="8"/>
      <c r="D1298" s="8"/>
      <c r="E1298" s="8"/>
      <c r="F1298" s="8"/>
      <c r="G1298" s="8"/>
      <c r="H1298" s="8"/>
      <c r="I1298" s="9"/>
      <c r="J1298" s="9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7"/>
      <c r="B1299" s="8"/>
      <c r="C1299" s="8"/>
      <c r="D1299" s="8"/>
      <c r="E1299" s="8"/>
      <c r="F1299" s="8"/>
      <c r="G1299" s="8"/>
      <c r="H1299" s="8"/>
      <c r="I1299" s="9"/>
      <c r="J1299" s="9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7"/>
      <c r="B1300" s="8"/>
      <c r="C1300" s="8"/>
      <c r="D1300" s="8"/>
      <c r="E1300" s="8"/>
      <c r="F1300" s="8"/>
      <c r="G1300" s="8"/>
      <c r="H1300" s="8"/>
      <c r="I1300" s="9"/>
      <c r="J1300" s="9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7"/>
      <c r="B1301" s="8"/>
      <c r="C1301" s="8"/>
      <c r="D1301" s="8"/>
      <c r="E1301" s="8"/>
      <c r="F1301" s="8"/>
      <c r="G1301" s="8"/>
      <c r="H1301" s="8"/>
      <c r="I1301" s="9"/>
      <c r="J1301" s="9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7"/>
      <c r="B1302" s="8"/>
      <c r="C1302" s="8"/>
      <c r="D1302" s="8"/>
      <c r="E1302" s="8"/>
      <c r="F1302" s="8"/>
      <c r="G1302" s="8"/>
      <c r="H1302" s="8"/>
      <c r="I1302" s="9"/>
      <c r="J1302" s="9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7"/>
      <c r="B1303" s="8"/>
      <c r="C1303" s="8"/>
      <c r="D1303" s="8"/>
      <c r="E1303" s="8"/>
      <c r="F1303" s="8"/>
      <c r="G1303" s="8"/>
      <c r="H1303" s="8"/>
      <c r="I1303" s="9"/>
      <c r="J1303" s="9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7"/>
      <c r="B1304" s="8"/>
      <c r="C1304" s="8"/>
      <c r="D1304" s="8"/>
      <c r="E1304" s="8"/>
      <c r="F1304" s="8"/>
      <c r="G1304" s="8"/>
      <c r="H1304" s="8"/>
      <c r="I1304" s="9"/>
      <c r="J1304" s="9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7"/>
      <c r="B1305" s="8"/>
      <c r="C1305" s="8"/>
      <c r="D1305" s="8"/>
      <c r="E1305" s="8"/>
      <c r="F1305" s="8"/>
      <c r="G1305" s="8"/>
      <c r="H1305" s="8"/>
      <c r="I1305" s="9"/>
      <c r="J1305" s="9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7"/>
      <c r="B1306" s="8"/>
      <c r="C1306" s="8"/>
      <c r="D1306" s="8"/>
      <c r="E1306" s="8"/>
      <c r="F1306" s="8"/>
      <c r="G1306" s="8"/>
      <c r="H1306" s="8"/>
      <c r="I1306" s="9"/>
      <c r="J1306" s="9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7"/>
      <c r="B1307" s="8"/>
      <c r="C1307" s="8"/>
      <c r="D1307" s="8"/>
      <c r="E1307" s="8"/>
      <c r="F1307" s="8"/>
      <c r="G1307" s="8"/>
      <c r="H1307" s="8"/>
      <c r="I1307" s="9"/>
      <c r="J1307" s="9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7"/>
      <c r="B1308" s="8"/>
      <c r="C1308" s="8"/>
      <c r="D1308" s="8"/>
      <c r="E1308" s="8"/>
      <c r="F1308" s="8"/>
      <c r="G1308" s="8"/>
      <c r="H1308" s="8"/>
      <c r="I1308" s="9"/>
      <c r="J1308" s="9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7"/>
      <c r="B1309" s="8"/>
      <c r="C1309" s="8"/>
      <c r="D1309" s="8"/>
      <c r="E1309" s="8"/>
      <c r="F1309" s="8"/>
      <c r="G1309" s="8"/>
      <c r="H1309" s="8"/>
      <c r="I1309" s="9"/>
      <c r="J1309" s="9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7"/>
      <c r="B1310" s="8"/>
      <c r="C1310" s="8"/>
      <c r="D1310" s="8"/>
      <c r="E1310" s="8"/>
      <c r="F1310" s="8"/>
      <c r="G1310" s="8"/>
      <c r="H1310" s="8"/>
      <c r="I1310" s="9"/>
      <c r="J1310" s="9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7"/>
      <c r="B1311" s="8"/>
      <c r="C1311" s="8"/>
      <c r="D1311" s="8"/>
      <c r="E1311" s="8"/>
      <c r="F1311" s="8"/>
      <c r="G1311" s="8"/>
      <c r="H1311" s="8"/>
      <c r="I1311" s="9"/>
      <c r="J1311" s="9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7"/>
      <c r="B1312" s="8"/>
      <c r="C1312" s="8"/>
      <c r="D1312" s="8"/>
      <c r="E1312" s="8"/>
      <c r="F1312" s="8"/>
      <c r="G1312" s="8"/>
      <c r="H1312" s="8"/>
      <c r="I1312" s="9"/>
      <c r="J1312" s="9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7"/>
      <c r="B1313" s="8"/>
      <c r="C1313" s="8"/>
      <c r="D1313" s="8"/>
      <c r="E1313" s="8"/>
      <c r="F1313" s="8"/>
      <c r="G1313" s="8"/>
      <c r="H1313" s="8"/>
      <c r="I1313" s="9"/>
      <c r="J1313" s="9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7"/>
      <c r="B1314" s="8"/>
      <c r="C1314" s="8"/>
      <c r="D1314" s="8"/>
      <c r="E1314" s="8"/>
      <c r="F1314" s="8"/>
      <c r="G1314" s="8"/>
      <c r="H1314" s="8"/>
      <c r="I1314" s="9"/>
      <c r="J1314" s="9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7"/>
      <c r="B1315" s="8"/>
      <c r="C1315" s="8"/>
      <c r="D1315" s="8"/>
      <c r="E1315" s="8"/>
      <c r="F1315" s="8"/>
      <c r="G1315" s="8"/>
      <c r="H1315" s="8"/>
      <c r="I1315" s="9"/>
      <c r="J1315" s="9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7"/>
      <c r="B1316" s="8"/>
      <c r="C1316" s="8"/>
      <c r="D1316" s="8"/>
      <c r="E1316" s="8"/>
      <c r="F1316" s="8"/>
      <c r="G1316" s="8"/>
      <c r="H1316" s="8"/>
      <c r="I1316" s="9"/>
      <c r="J1316" s="9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7"/>
      <c r="B1317" s="8"/>
      <c r="C1317" s="8"/>
      <c r="D1317" s="8"/>
      <c r="E1317" s="8"/>
      <c r="F1317" s="8"/>
      <c r="G1317" s="8"/>
      <c r="H1317" s="8"/>
      <c r="I1317" s="9"/>
      <c r="J1317" s="9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7"/>
      <c r="B1318" s="8"/>
      <c r="C1318" s="8"/>
      <c r="D1318" s="8"/>
      <c r="E1318" s="8"/>
      <c r="F1318" s="8"/>
      <c r="G1318" s="8"/>
      <c r="H1318" s="8"/>
      <c r="I1318" s="9"/>
      <c r="J1318" s="9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7"/>
      <c r="B1319" s="8"/>
      <c r="C1319" s="8"/>
      <c r="D1319" s="8"/>
      <c r="E1319" s="8"/>
      <c r="F1319" s="8"/>
      <c r="G1319" s="8"/>
      <c r="H1319" s="8"/>
      <c r="I1319" s="9"/>
      <c r="J1319" s="9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7"/>
      <c r="B1320" s="8"/>
      <c r="C1320" s="8"/>
      <c r="D1320" s="8"/>
      <c r="E1320" s="8"/>
      <c r="F1320" s="8"/>
      <c r="G1320" s="8"/>
      <c r="H1320" s="8"/>
      <c r="I1320" s="9"/>
      <c r="J1320" s="9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7"/>
      <c r="B1321" s="8"/>
      <c r="C1321" s="8"/>
      <c r="D1321" s="8"/>
      <c r="E1321" s="8"/>
      <c r="F1321" s="8"/>
      <c r="G1321" s="8"/>
      <c r="H1321" s="8"/>
      <c r="I1321" s="9"/>
      <c r="J1321" s="9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7"/>
      <c r="B1322" s="8"/>
      <c r="C1322" s="8"/>
      <c r="D1322" s="8"/>
      <c r="E1322" s="8"/>
      <c r="F1322" s="8"/>
      <c r="G1322" s="8"/>
      <c r="H1322" s="8"/>
      <c r="I1322" s="9"/>
      <c r="J1322" s="9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7"/>
      <c r="B1323" s="8"/>
      <c r="C1323" s="8"/>
      <c r="D1323" s="8"/>
      <c r="E1323" s="8"/>
      <c r="F1323" s="8"/>
      <c r="G1323" s="8"/>
      <c r="H1323" s="8"/>
      <c r="I1323" s="9"/>
      <c r="J1323" s="9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7"/>
      <c r="B1324" s="8"/>
      <c r="C1324" s="8"/>
      <c r="D1324" s="8"/>
      <c r="E1324" s="8"/>
      <c r="F1324" s="8"/>
      <c r="G1324" s="8"/>
      <c r="H1324" s="8"/>
      <c r="I1324" s="9"/>
      <c r="J1324" s="9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7"/>
      <c r="B1325" s="8"/>
      <c r="C1325" s="8"/>
      <c r="D1325" s="8"/>
      <c r="E1325" s="8"/>
      <c r="F1325" s="8"/>
      <c r="G1325" s="8"/>
      <c r="H1325" s="8"/>
      <c r="I1325" s="9"/>
      <c r="J1325" s="9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7"/>
      <c r="B1326" s="8"/>
      <c r="C1326" s="8"/>
      <c r="D1326" s="8"/>
      <c r="E1326" s="8"/>
      <c r="F1326" s="8"/>
      <c r="G1326" s="8"/>
      <c r="H1326" s="8"/>
      <c r="I1326" s="9"/>
      <c r="J1326" s="9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7"/>
      <c r="B1327" s="8"/>
      <c r="C1327" s="8"/>
      <c r="D1327" s="8"/>
      <c r="E1327" s="8"/>
      <c r="F1327" s="8"/>
      <c r="G1327" s="8"/>
      <c r="H1327" s="8"/>
      <c r="I1327" s="9"/>
      <c r="J1327" s="9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7"/>
      <c r="B1328" s="8"/>
      <c r="C1328" s="8"/>
      <c r="D1328" s="8"/>
      <c r="E1328" s="8"/>
      <c r="F1328" s="8"/>
      <c r="G1328" s="8"/>
      <c r="H1328" s="8"/>
      <c r="I1328" s="9"/>
      <c r="J1328" s="9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7"/>
      <c r="B1329" s="8"/>
      <c r="C1329" s="8"/>
      <c r="D1329" s="8"/>
      <c r="E1329" s="8"/>
      <c r="F1329" s="8"/>
      <c r="G1329" s="8"/>
      <c r="H1329" s="8"/>
      <c r="I1329" s="9"/>
      <c r="J1329" s="9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7"/>
      <c r="B1330" s="8"/>
      <c r="C1330" s="8"/>
      <c r="D1330" s="8"/>
      <c r="E1330" s="8"/>
      <c r="F1330" s="8"/>
      <c r="G1330" s="8"/>
      <c r="H1330" s="8"/>
      <c r="I1330" s="9"/>
      <c r="J1330" s="9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7"/>
      <c r="B1331" s="8"/>
      <c r="C1331" s="8"/>
      <c r="D1331" s="8"/>
      <c r="E1331" s="8"/>
      <c r="F1331" s="8"/>
      <c r="G1331" s="8"/>
      <c r="H1331" s="8"/>
      <c r="I1331" s="9"/>
      <c r="J1331" s="9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7"/>
      <c r="B1332" s="8"/>
      <c r="C1332" s="8"/>
      <c r="D1332" s="8"/>
      <c r="E1332" s="8"/>
      <c r="F1332" s="8"/>
      <c r="G1332" s="8"/>
      <c r="H1332" s="8"/>
      <c r="I1332" s="9"/>
      <c r="J1332" s="9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7"/>
      <c r="B1333" s="8"/>
      <c r="C1333" s="8"/>
      <c r="D1333" s="8"/>
      <c r="E1333" s="8"/>
      <c r="F1333" s="8"/>
      <c r="G1333" s="8"/>
      <c r="H1333" s="8"/>
      <c r="I1333" s="9"/>
      <c r="J1333" s="9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7"/>
      <c r="B1334" s="8"/>
      <c r="C1334" s="8"/>
      <c r="D1334" s="8"/>
      <c r="E1334" s="8"/>
      <c r="F1334" s="8"/>
      <c r="G1334" s="8"/>
      <c r="H1334" s="8"/>
      <c r="I1334" s="9"/>
      <c r="J1334" s="9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7"/>
      <c r="B1335" s="8"/>
      <c r="C1335" s="8"/>
      <c r="D1335" s="8"/>
      <c r="E1335" s="8"/>
      <c r="F1335" s="8"/>
      <c r="G1335" s="8"/>
      <c r="H1335" s="8"/>
      <c r="I1335" s="9"/>
      <c r="J1335" s="9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7"/>
      <c r="B1336" s="8"/>
      <c r="C1336" s="8"/>
      <c r="D1336" s="8"/>
      <c r="E1336" s="8"/>
      <c r="F1336" s="8"/>
      <c r="G1336" s="8"/>
      <c r="H1336" s="8"/>
      <c r="I1336" s="9"/>
      <c r="J1336" s="9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7"/>
      <c r="B1337" s="8"/>
      <c r="C1337" s="8"/>
      <c r="D1337" s="8"/>
      <c r="E1337" s="8"/>
      <c r="F1337" s="8"/>
      <c r="G1337" s="8"/>
      <c r="H1337" s="8"/>
      <c r="I1337" s="9"/>
      <c r="J1337" s="9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7"/>
      <c r="B1338" s="8"/>
      <c r="C1338" s="8"/>
      <c r="D1338" s="8"/>
      <c r="E1338" s="8"/>
      <c r="F1338" s="8"/>
      <c r="G1338" s="8"/>
      <c r="H1338" s="8"/>
      <c r="I1338" s="9"/>
      <c r="J1338" s="9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7"/>
      <c r="B1339" s="8"/>
      <c r="C1339" s="8"/>
      <c r="D1339" s="8"/>
      <c r="E1339" s="8"/>
      <c r="F1339" s="8"/>
      <c r="G1339" s="8"/>
      <c r="H1339" s="8"/>
      <c r="I1339" s="9"/>
      <c r="J1339" s="9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7"/>
      <c r="B1340" s="8"/>
      <c r="C1340" s="8"/>
      <c r="D1340" s="8"/>
      <c r="E1340" s="8"/>
      <c r="F1340" s="8"/>
      <c r="G1340" s="8"/>
      <c r="H1340" s="8"/>
      <c r="I1340" s="9"/>
      <c r="J1340" s="9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7"/>
      <c r="B1341" s="8"/>
      <c r="C1341" s="8"/>
      <c r="D1341" s="8"/>
      <c r="E1341" s="8"/>
      <c r="F1341" s="8"/>
      <c r="G1341" s="8"/>
      <c r="H1341" s="8"/>
      <c r="I1341" s="9"/>
      <c r="J1341" s="9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7"/>
      <c r="B1342" s="8"/>
      <c r="C1342" s="8"/>
      <c r="D1342" s="8"/>
      <c r="E1342" s="8"/>
      <c r="F1342" s="8"/>
      <c r="G1342" s="8"/>
      <c r="H1342" s="8"/>
      <c r="I1342" s="9"/>
      <c r="J1342" s="9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7"/>
      <c r="B1343" s="8"/>
      <c r="C1343" s="8"/>
      <c r="D1343" s="8"/>
      <c r="E1343" s="8"/>
      <c r="F1343" s="8"/>
      <c r="G1343" s="8"/>
      <c r="H1343" s="8"/>
      <c r="I1343" s="9"/>
      <c r="J1343" s="9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7"/>
      <c r="B1344" s="8"/>
      <c r="C1344" s="8"/>
      <c r="D1344" s="8"/>
      <c r="E1344" s="8"/>
      <c r="F1344" s="8"/>
      <c r="G1344" s="8"/>
      <c r="H1344" s="8"/>
      <c r="I1344" s="9"/>
      <c r="J1344" s="9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7"/>
      <c r="B1345" s="8"/>
      <c r="C1345" s="8"/>
      <c r="D1345" s="8"/>
      <c r="E1345" s="8"/>
      <c r="F1345" s="8"/>
      <c r="G1345" s="8"/>
      <c r="H1345" s="8"/>
      <c r="I1345" s="9"/>
      <c r="J1345" s="9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7"/>
      <c r="B1346" s="8"/>
      <c r="C1346" s="8"/>
      <c r="D1346" s="8"/>
      <c r="E1346" s="8"/>
      <c r="F1346" s="8"/>
      <c r="G1346" s="8"/>
      <c r="H1346" s="8"/>
      <c r="I1346" s="9"/>
      <c r="J1346" s="9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7"/>
      <c r="B1347" s="8"/>
      <c r="C1347" s="8"/>
      <c r="D1347" s="8"/>
      <c r="E1347" s="8"/>
      <c r="F1347" s="8"/>
      <c r="G1347" s="8"/>
      <c r="H1347" s="8"/>
      <c r="I1347" s="9"/>
      <c r="J1347" s="9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7"/>
      <c r="B1348" s="8"/>
      <c r="C1348" s="8"/>
      <c r="D1348" s="8"/>
      <c r="E1348" s="8"/>
      <c r="F1348" s="8"/>
      <c r="G1348" s="8"/>
      <c r="H1348" s="8"/>
      <c r="I1348" s="9"/>
      <c r="J1348" s="9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7"/>
      <c r="B1349" s="8"/>
      <c r="C1349" s="8"/>
      <c r="D1349" s="8"/>
      <c r="E1349" s="8"/>
      <c r="F1349" s="8"/>
      <c r="G1349" s="8"/>
      <c r="H1349" s="8"/>
      <c r="I1349" s="9"/>
      <c r="J1349" s="9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7"/>
      <c r="B1350" s="8"/>
      <c r="C1350" s="8"/>
      <c r="D1350" s="8"/>
      <c r="E1350" s="8"/>
      <c r="F1350" s="8"/>
      <c r="G1350" s="8"/>
      <c r="H1350" s="8"/>
      <c r="I1350" s="9"/>
      <c r="J1350" s="9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7"/>
      <c r="B1351" s="8"/>
      <c r="C1351" s="8"/>
      <c r="D1351" s="8"/>
      <c r="E1351" s="8"/>
      <c r="F1351" s="8"/>
      <c r="G1351" s="8"/>
      <c r="H1351" s="8"/>
      <c r="I1351" s="9"/>
      <c r="J1351" s="9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7"/>
      <c r="B1352" s="8"/>
      <c r="C1352" s="8"/>
      <c r="D1352" s="8"/>
      <c r="E1352" s="8"/>
      <c r="F1352" s="8"/>
      <c r="G1352" s="8"/>
      <c r="H1352" s="8"/>
      <c r="I1352" s="9"/>
      <c r="J1352" s="9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7"/>
      <c r="B1353" s="8"/>
      <c r="C1353" s="8"/>
      <c r="D1353" s="8"/>
      <c r="E1353" s="8"/>
      <c r="F1353" s="8"/>
      <c r="G1353" s="8"/>
      <c r="H1353" s="8"/>
      <c r="I1353" s="9"/>
      <c r="J1353" s="9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7"/>
      <c r="B1354" s="8"/>
      <c r="C1354" s="8"/>
      <c r="D1354" s="8"/>
      <c r="E1354" s="8"/>
      <c r="F1354" s="8"/>
      <c r="G1354" s="8"/>
      <c r="H1354" s="8"/>
      <c r="I1354" s="9"/>
      <c r="J1354" s="9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7"/>
      <c r="B1355" s="8"/>
      <c r="C1355" s="8"/>
      <c r="D1355" s="8"/>
      <c r="E1355" s="8"/>
      <c r="F1355" s="8"/>
      <c r="G1355" s="8"/>
      <c r="H1355" s="8"/>
      <c r="I1355" s="9"/>
      <c r="J1355" s="9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7"/>
      <c r="B1356" s="8"/>
      <c r="C1356" s="8"/>
      <c r="D1356" s="8"/>
      <c r="E1356" s="8"/>
      <c r="F1356" s="8"/>
      <c r="G1356" s="8"/>
      <c r="H1356" s="8"/>
      <c r="I1356" s="9"/>
      <c r="J1356" s="9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7"/>
      <c r="B1357" s="8"/>
      <c r="C1357" s="8"/>
      <c r="D1357" s="8"/>
      <c r="E1357" s="8"/>
      <c r="F1357" s="8"/>
      <c r="G1357" s="8"/>
      <c r="H1357" s="8"/>
      <c r="I1357" s="9"/>
      <c r="J1357" s="9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7"/>
      <c r="B1358" s="8"/>
      <c r="C1358" s="8"/>
      <c r="D1358" s="8"/>
      <c r="E1358" s="8"/>
      <c r="F1358" s="8"/>
      <c r="G1358" s="8"/>
      <c r="H1358" s="8"/>
      <c r="I1358" s="9"/>
      <c r="J1358" s="9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7"/>
      <c r="B1359" s="8"/>
      <c r="C1359" s="8"/>
      <c r="D1359" s="8"/>
      <c r="E1359" s="8"/>
      <c r="F1359" s="8"/>
      <c r="G1359" s="8"/>
      <c r="H1359" s="8"/>
      <c r="I1359" s="9"/>
      <c r="J1359" s="9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7"/>
      <c r="B1360" s="8"/>
      <c r="C1360" s="8"/>
      <c r="D1360" s="8"/>
      <c r="E1360" s="8"/>
      <c r="F1360" s="8"/>
      <c r="G1360" s="8"/>
      <c r="H1360" s="8"/>
      <c r="I1360" s="9"/>
      <c r="J1360" s="9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7"/>
      <c r="B1361" s="8"/>
      <c r="C1361" s="8"/>
      <c r="D1361" s="8"/>
      <c r="E1361" s="8"/>
      <c r="F1361" s="8"/>
      <c r="G1361" s="8"/>
      <c r="H1361" s="8"/>
      <c r="I1361" s="9"/>
      <c r="J1361" s="9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7"/>
      <c r="B1362" s="8"/>
      <c r="C1362" s="8"/>
      <c r="D1362" s="8"/>
      <c r="E1362" s="8"/>
      <c r="F1362" s="8"/>
      <c r="G1362" s="8"/>
      <c r="H1362" s="8"/>
      <c r="I1362" s="9"/>
      <c r="J1362" s="9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7"/>
      <c r="B1363" s="8"/>
      <c r="C1363" s="8"/>
      <c r="D1363" s="8"/>
      <c r="E1363" s="8"/>
      <c r="F1363" s="8"/>
      <c r="G1363" s="8"/>
      <c r="H1363" s="8"/>
      <c r="I1363" s="9"/>
      <c r="J1363" s="9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7"/>
      <c r="B1364" s="8"/>
      <c r="C1364" s="8"/>
      <c r="D1364" s="8"/>
      <c r="E1364" s="8"/>
      <c r="F1364" s="8"/>
      <c r="G1364" s="8"/>
      <c r="H1364" s="8"/>
      <c r="I1364" s="9"/>
      <c r="J1364" s="9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7"/>
      <c r="B1365" s="8"/>
      <c r="C1365" s="8"/>
      <c r="D1365" s="8"/>
      <c r="E1365" s="8"/>
      <c r="F1365" s="8"/>
      <c r="G1365" s="8"/>
      <c r="H1365" s="8"/>
      <c r="I1365" s="9"/>
      <c r="J1365" s="9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7"/>
      <c r="B1366" s="8"/>
      <c r="C1366" s="8"/>
      <c r="D1366" s="8"/>
      <c r="E1366" s="8"/>
      <c r="F1366" s="8"/>
      <c r="G1366" s="8"/>
      <c r="H1366" s="8"/>
      <c r="I1366" s="9"/>
      <c r="J1366" s="9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7"/>
      <c r="B1367" s="8"/>
      <c r="C1367" s="8"/>
      <c r="D1367" s="8"/>
      <c r="E1367" s="8"/>
      <c r="F1367" s="8"/>
      <c r="G1367" s="8"/>
      <c r="H1367" s="8"/>
      <c r="I1367" s="9"/>
      <c r="J1367" s="9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7"/>
      <c r="B1368" s="8"/>
      <c r="C1368" s="8"/>
      <c r="D1368" s="8"/>
      <c r="E1368" s="8"/>
      <c r="F1368" s="8"/>
      <c r="G1368" s="8"/>
      <c r="H1368" s="8"/>
      <c r="I1368" s="9"/>
      <c r="J1368" s="9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7"/>
      <c r="B1369" s="8"/>
      <c r="C1369" s="8"/>
      <c r="D1369" s="8"/>
      <c r="E1369" s="8"/>
      <c r="F1369" s="8"/>
      <c r="G1369" s="8"/>
      <c r="H1369" s="8"/>
      <c r="I1369" s="9"/>
      <c r="J1369" s="9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7"/>
      <c r="B1370" s="8"/>
      <c r="C1370" s="8"/>
      <c r="D1370" s="8"/>
      <c r="E1370" s="8"/>
      <c r="F1370" s="8"/>
      <c r="G1370" s="8"/>
      <c r="H1370" s="8"/>
      <c r="I1370" s="9"/>
      <c r="J1370" s="9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7"/>
      <c r="B1371" s="8"/>
      <c r="C1371" s="8"/>
      <c r="D1371" s="8"/>
      <c r="E1371" s="8"/>
      <c r="F1371" s="8"/>
      <c r="G1371" s="8"/>
      <c r="H1371" s="8"/>
      <c r="I1371" s="9"/>
      <c r="J1371" s="9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7"/>
      <c r="B1372" s="8"/>
      <c r="C1372" s="8"/>
      <c r="D1372" s="8"/>
      <c r="E1372" s="8"/>
      <c r="F1372" s="8"/>
      <c r="G1372" s="8"/>
      <c r="H1372" s="8"/>
      <c r="I1372" s="9"/>
      <c r="J1372" s="9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7"/>
      <c r="B1373" s="8"/>
      <c r="C1373" s="8"/>
      <c r="D1373" s="8"/>
      <c r="E1373" s="8"/>
      <c r="F1373" s="8"/>
      <c r="G1373" s="8"/>
      <c r="H1373" s="8"/>
      <c r="I1373" s="9"/>
      <c r="J1373" s="9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7"/>
      <c r="B1374" s="8"/>
      <c r="C1374" s="8"/>
      <c r="D1374" s="8"/>
      <c r="E1374" s="8"/>
      <c r="F1374" s="8"/>
      <c r="G1374" s="8"/>
      <c r="H1374" s="8"/>
      <c r="I1374" s="9"/>
      <c r="J1374" s="9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7"/>
      <c r="B1375" s="8"/>
      <c r="C1375" s="8"/>
      <c r="D1375" s="8"/>
      <c r="E1375" s="8"/>
      <c r="F1375" s="8"/>
      <c r="G1375" s="8"/>
      <c r="H1375" s="8"/>
      <c r="I1375" s="9"/>
      <c r="J1375" s="9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7"/>
      <c r="B1376" s="8"/>
      <c r="C1376" s="8"/>
      <c r="D1376" s="8"/>
      <c r="E1376" s="8"/>
      <c r="F1376" s="8"/>
      <c r="G1376" s="8"/>
      <c r="H1376" s="8"/>
      <c r="I1376" s="9"/>
      <c r="J1376" s="9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7"/>
      <c r="B1377" s="8"/>
      <c r="C1377" s="8"/>
      <c r="D1377" s="8"/>
      <c r="E1377" s="8"/>
      <c r="F1377" s="8"/>
      <c r="G1377" s="8"/>
      <c r="H1377" s="8"/>
      <c r="I1377" s="9"/>
      <c r="J1377" s="9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7"/>
      <c r="B1378" s="8"/>
      <c r="C1378" s="8"/>
      <c r="D1378" s="8"/>
      <c r="E1378" s="8"/>
      <c r="F1378" s="8"/>
      <c r="G1378" s="8"/>
      <c r="H1378" s="8"/>
      <c r="I1378" s="9"/>
      <c r="J1378" s="9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7"/>
      <c r="B1379" s="8"/>
      <c r="C1379" s="8"/>
      <c r="D1379" s="8"/>
      <c r="E1379" s="8"/>
      <c r="F1379" s="8"/>
      <c r="G1379" s="8"/>
      <c r="H1379" s="8"/>
      <c r="I1379" s="9"/>
      <c r="J1379" s="9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7"/>
      <c r="B1380" s="8"/>
      <c r="C1380" s="8"/>
      <c r="D1380" s="8"/>
      <c r="E1380" s="8"/>
      <c r="F1380" s="8"/>
      <c r="G1380" s="8"/>
      <c r="H1380" s="8"/>
      <c r="I1380" s="9"/>
      <c r="J1380" s="9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7"/>
      <c r="B1381" s="8"/>
      <c r="C1381" s="8"/>
      <c r="D1381" s="8"/>
      <c r="E1381" s="8"/>
      <c r="F1381" s="8"/>
      <c r="G1381" s="8"/>
      <c r="H1381" s="8"/>
      <c r="I1381" s="9"/>
      <c r="J1381" s="9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7"/>
      <c r="B1382" s="8"/>
      <c r="C1382" s="8"/>
      <c r="D1382" s="8"/>
      <c r="E1382" s="8"/>
      <c r="F1382" s="8"/>
      <c r="G1382" s="8"/>
      <c r="H1382" s="8"/>
      <c r="I1382" s="9"/>
      <c r="J1382" s="9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7"/>
      <c r="B1383" s="8"/>
      <c r="C1383" s="8"/>
      <c r="D1383" s="8"/>
      <c r="E1383" s="8"/>
      <c r="F1383" s="8"/>
      <c r="G1383" s="8"/>
      <c r="H1383" s="8"/>
      <c r="I1383" s="9"/>
      <c r="J1383" s="9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7"/>
      <c r="B1384" s="8"/>
      <c r="C1384" s="8"/>
      <c r="D1384" s="8"/>
      <c r="E1384" s="8"/>
      <c r="F1384" s="8"/>
      <c r="G1384" s="8"/>
      <c r="H1384" s="8"/>
      <c r="I1384" s="9"/>
      <c r="J1384" s="9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7"/>
      <c r="B1385" s="8"/>
      <c r="C1385" s="8"/>
      <c r="D1385" s="8"/>
      <c r="E1385" s="8"/>
      <c r="F1385" s="8"/>
      <c r="G1385" s="8"/>
      <c r="H1385" s="8"/>
      <c r="I1385" s="9"/>
      <c r="J1385" s="9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7"/>
      <c r="B1386" s="8"/>
      <c r="C1386" s="8"/>
      <c r="D1386" s="8"/>
      <c r="E1386" s="8"/>
      <c r="F1386" s="8"/>
      <c r="G1386" s="8"/>
      <c r="H1386" s="8"/>
      <c r="I1386" s="9"/>
      <c r="J1386" s="9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7"/>
      <c r="B1387" s="8"/>
      <c r="C1387" s="8"/>
      <c r="D1387" s="8"/>
      <c r="E1387" s="8"/>
      <c r="F1387" s="8"/>
      <c r="G1387" s="8"/>
      <c r="H1387" s="8"/>
      <c r="I1387" s="9"/>
      <c r="J1387" s="9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7"/>
      <c r="B1388" s="8"/>
      <c r="C1388" s="8"/>
      <c r="D1388" s="8"/>
      <c r="E1388" s="8"/>
      <c r="F1388" s="8"/>
      <c r="G1388" s="8"/>
      <c r="H1388" s="8"/>
      <c r="I1388" s="9"/>
      <c r="J1388" s="9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7"/>
      <c r="B1389" s="8"/>
      <c r="C1389" s="8"/>
      <c r="D1389" s="8"/>
      <c r="E1389" s="8"/>
      <c r="F1389" s="8"/>
      <c r="G1389" s="8"/>
      <c r="H1389" s="8"/>
      <c r="I1389" s="9"/>
      <c r="J1389" s="9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7"/>
      <c r="B1390" s="8"/>
      <c r="C1390" s="8"/>
      <c r="D1390" s="8"/>
      <c r="E1390" s="8"/>
      <c r="F1390" s="8"/>
      <c r="G1390" s="8"/>
      <c r="H1390" s="8"/>
      <c r="I1390" s="9"/>
      <c r="J1390" s="9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7"/>
      <c r="B1391" s="8"/>
      <c r="C1391" s="8"/>
      <c r="D1391" s="8"/>
      <c r="E1391" s="8"/>
      <c r="F1391" s="8"/>
      <c r="G1391" s="8"/>
      <c r="H1391" s="8"/>
      <c r="I1391" s="9"/>
      <c r="J1391" s="9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7"/>
      <c r="B1392" s="8"/>
      <c r="C1392" s="8"/>
      <c r="D1392" s="8"/>
      <c r="E1392" s="8"/>
      <c r="F1392" s="8"/>
      <c r="G1392" s="8"/>
      <c r="H1392" s="8"/>
      <c r="I1392" s="9"/>
      <c r="J1392" s="9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7"/>
      <c r="B1393" s="8"/>
      <c r="C1393" s="8"/>
      <c r="D1393" s="8"/>
      <c r="E1393" s="8"/>
      <c r="F1393" s="8"/>
      <c r="G1393" s="8"/>
      <c r="H1393" s="8"/>
      <c r="I1393" s="9"/>
      <c r="J1393" s="9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7"/>
      <c r="B1394" s="8"/>
      <c r="C1394" s="8"/>
      <c r="D1394" s="8"/>
      <c r="E1394" s="8"/>
      <c r="F1394" s="8"/>
      <c r="G1394" s="8"/>
      <c r="H1394" s="8"/>
      <c r="I1394" s="9"/>
      <c r="J1394" s="9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7"/>
      <c r="B1395" s="8"/>
      <c r="C1395" s="8"/>
      <c r="D1395" s="8"/>
      <c r="E1395" s="8"/>
      <c r="F1395" s="8"/>
      <c r="G1395" s="8"/>
      <c r="H1395" s="8"/>
      <c r="I1395" s="9"/>
      <c r="J1395" s="9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7"/>
      <c r="B1396" s="8"/>
      <c r="C1396" s="8"/>
      <c r="D1396" s="8"/>
      <c r="E1396" s="8"/>
      <c r="F1396" s="8"/>
      <c r="G1396" s="8"/>
      <c r="H1396" s="8"/>
      <c r="I1396" s="9"/>
      <c r="J1396" s="9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7"/>
      <c r="B1397" s="8"/>
      <c r="C1397" s="8"/>
      <c r="D1397" s="8"/>
      <c r="E1397" s="8"/>
      <c r="F1397" s="8"/>
      <c r="G1397" s="8"/>
      <c r="H1397" s="8"/>
      <c r="I1397" s="9"/>
      <c r="J1397" s="9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7"/>
      <c r="B1398" s="8"/>
      <c r="C1398" s="8"/>
      <c r="D1398" s="8"/>
      <c r="E1398" s="8"/>
      <c r="F1398" s="8"/>
      <c r="G1398" s="8"/>
      <c r="H1398" s="8"/>
      <c r="I1398" s="9"/>
      <c r="J1398" s="9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7"/>
      <c r="B1399" s="8"/>
      <c r="C1399" s="8"/>
      <c r="D1399" s="8"/>
      <c r="E1399" s="8"/>
      <c r="F1399" s="8"/>
      <c r="G1399" s="8"/>
      <c r="H1399" s="8"/>
      <c r="I1399" s="9"/>
      <c r="J1399" s="9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7"/>
      <c r="B1400" s="8"/>
      <c r="C1400" s="8"/>
      <c r="D1400" s="8"/>
      <c r="E1400" s="8"/>
      <c r="F1400" s="8"/>
      <c r="G1400" s="8"/>
      <c r="H1400" s="8"/>
      <c r="I1400" s="9"/>
      <c r="J1400" s="9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7"/>
      <c r="B1401" s="8"/>
      <c r="C1401" s="8"/>
      <c r="D1401" s="8"/>
      <c r="E1401" s="8"/>
      <c r="F1401" s="8"/>
      <c r="G1401" s="8"/>
      <c r="H1401" s="8"/>
      <c r="I1401" s="9"/>
      <c r="J1401" s="9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7"/>
      <c r="B1402" s="8"/>
      <c r="C1402" s="8"/>
      <c r="D1402" s="8"/>
      <c r="E1402" s="8"/>
      <c r="F1402" s="8"/>
      <c r="G1402" s="8"/>
      <c r="H1402" s="8"/>
      <c r="I1402" s="9"/>
      <c r="J1402" s="9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7"/>
      <c r="B1403" s="8"/>
      <c r="C1403" s="8"/>
      <c r="D1403" s="8"/>
      <c r="E1403" s="8"/>
      <c r="F1403" s="8"/>
      <c r="G1403" s="8"/>
      <c r="H1403" s="8"/>
      <c r="I1403" s="9"/>
      <c r="J1403" s="9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7"/>
      <c r="B1404" s="8"/>
      <c r="C1404" s="8"/>
      <c r="D1404" s="8"/>
      <c r="E1404" s="8"/>
      <c r="F1404" s="8"/>
      <c r="G1404" s="8"/>
      <c r="H1404" s="8"/>
      <c r="I1404" s="9"/>
      <c r="J1404" s="9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7"/>
      <c r="B1405" s="8"/>
      <c r="C1405" s="8"/>
      <c r="D1405" s="8"/>
      <c r="E1405" s="8"/>
      <c r="F1405" s="8"/>
      <c r="G1405" s="8"/>
      <c r="H1405" s="8"/>
      <c r="I1405" s="9"/>
      <c r="J1405" s="9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7"/>
      <c r="B1406" s="8"/>
      <c r="C1406" s="8"/>
      <c r="D1406" s="8"/>
      <c r="E1406" s="8"/>
      <c r="F1406" s="8"/>
      <c r="G1406" s="8"/>
      <c r="H1406" s="8"/>
      <c r="I1406" s="9"/>
      <c r="J1406" s="9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7"/>
      <c r="B1407" s="8"/>
      <c r="C1407" s="8"/>
      <c r="D1407" s="8"/>
      <c r="E1407" s="8"/>
      <c r="F1407" s="8"/>
      <c r="G1407" s="8"/>
      <c r="H1407" s="8"/>
      <c r="I1407" s="9"/>
      <c r="J1407" s="9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7"/>
      <c r="B1408" s="8"/>
      <c r="C1408" s="8"/>
      <c r="D1408" s="8"/>
      <c r="E1408" s="8"/>
      <c r="F1408" s="8"/>
      <c r="G1408" s="8"/>
      <c r="H1408" s="8"/>
      <c r="I1408" s="9"/>
      <c r="J1408" s="9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7"/>
      <c r="B1409" s="8"/>
      <c r="C1409" s="8"/>
      <c r="D1409" s="8"/>
      <c r="E1409" s="8"/>
      <c r="F1409" s="8"/>
      <c r="G1409" s="8"/>
      <c r="H1409" s="8"/>
      <c r="I1409" s="9"/>
      <c r="J1409" s="9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7"/>
      <c r="B1410" s="8"/>
      <c r="C1410" s="8"/>
      <c r="D1410" s="8"/>
      <c r="E1410" s="8"/>
      <c r="F1410" s="8"/>
      <c r="G1410" s="8"/>
      <c r="H1410" s="8"/>
      <c r="I1410" s="9"/>
      <c r="J1410" s="9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7"/>
      <c r="B1411" s="8"/>
      <c r="C1411" s="8"/>
      <c r="D1411" s="8"/>
      <c r="E1411" s="8"/>
      <c r="F1411" s="8"/>
      <c r="G1411" s="8"/>
      <c r="H1411" s="8"/>
      <c r="I1411" s="9"/>
      <c r="J1411" s="9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7"/>
      <c r="B1412" s="8"/>
      <c r="C1412" s="8"/>
      <c r="D1412" s="8"/>
      <c r="E1412" s="8"/>
      <c r="F1412" s="8"/>
      <c r="G1412" s="8"/>
      <c r="H1412" s="8"/>
      <c r="I1412" s="9"/>
      <c r="J1412" s="9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7"/>
      <c r="B1413" s="8"/>
      <c r="C1413" s="8"/>
      <c r="D1413" s="8"/>
      <c r="E1413" s="8"/>
      <c r="F1413" s="8"/>
      <c r="G1413" s="8"/>
      <c r="H1413" s="8"/>
      <c r="I1413" s="9"/>
      <c r="J1413" s="9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7"/>
      <c r="B1414" s="8"/>
      <c r="C1414" s="8"/>
      <c r="D1414" s="8"/>
      <c r="E1414" s="8"/>
      <c r="F1414" s="8"/>
      <c r="G1414" s="8"/>
      <c r="H1414" s="8"/>
      <c r="I1414" s="9"/>
      <c r="J1414" s="9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7"/>
      <c r="B1415" s="8"/>
      <c r="C1415" s="8"/>
      <c r="D1415" s="8"/>
      <c r="E1415" s="8"/>
      <c r="F1415" s="8"/>
      <c r="G1415" s="8"/>
      <c r="H1415" s="8"/>
      <c r="I1415" s="9"/>
      <c r="J1415" s="9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7"/>
      <c r="B1416" s="8"/>
      <c r="C1416" s="8"/>
      <c r="D1416" s="8"/>
      <c r="E1416" s="8"/>
      <c r="F1416" s="8"/>
      <c r="G1416" s="8"/>
      <c r="H1416" s="8"/>
      <c r="I1416" s="9"/>
      <c r="J1416" s="9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7"/>
      <c r="B1417" s="8"/>
      <c r="C1417" s="8"/>
      <c r="D1417" s="8"/>
      <c r="E1417" s="8"/>
      <c r="F1417" s="8"/>
      <c r="G1417" s="8"/>
      <c r="H1417" s="8"/>
      <c r="I1417" s="9"/>
      <c r="J1417" s="9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7"/>
      <c r="B1418" s="8"/>
      <c r="C1418" s="8"/>
      <c r="D1418" s="8"/>
      <c r="E1418" s="8"/>
      <c r="F1418" s="8"/>
      <c r="G1418" s="8"/>
      <c r="H1418" s="8"/>
      <c r="I1418" s="9"/>
      <c r="J1418" s="9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7"/>
      <c r="B1419" s="8"/>
      <c r="C1419" s="8"/>
      <c r="D1419" s="8"/>
      <c r="E1419" s="8"/>
      <c r="F1419" s="8"/>
      <c r="G1419" s="8"/>
      <c r="H1419" s="8"/>
      <c r="I1419" s="9"/>
      <c r="J1419" s="9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7"/>
      <c r="B1420" s="8"/>
      <c r="C1420" s="8"/>
      <c r="D1420" s="8"/>
      <c r="E1420" s="8"/>
      <c r="F1420" s="8"/>
      <c r="G1420" s="8"/>
      <c r="H1420" s="8"/>
      <c r="I1420" s="9"/>
      <c r="J1420" s="9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7"/>
      <c r="B1421" s="8"/>
      <c r="C1421" s="8"/>
      <c r="D1421" s="8"/>
      <c r="E1421" s="8"/>
      <c r="F1421" s="8"/>
      <c r="G1421" s="8"/>
      <c r="H1421" s="8"/>
      <c r="I1421" s="9"/>
      <c r="J1421" s="9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7"/>
      <c r="B1422" s="8"/>
      <c r="C1422" s="8"/>
      <c r="D1422" s="8"/>
      <c r="E1422" s="8"/>
      <c r="F1422" s="8"/>
      <c r="G1422" s="8"/>
      <c r="H1422" s="8"/>
      <c r="I1422" s="9"/>
      <c r="J1422" s="9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7"/>
      <c r="B1423" s="8"/>
      <c r="C1423" s="8"/>
      <c r="D1423" s="8"/>
      <c r="E1423" s="8"/>
      <c r="F1423" s="8"/>
      <c r="G1423" s="8"/>
      <c r="H1423" s="8"/>
      <c r="I1423" s="9"/>
      <c r="J1423" s="9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7"/>
      <c r="B1424" s="8"/>
      <c r="C1424" s="8"/>
      <c r="D1424" s="8"/>
      <c r="E1424" s="8"/>
      <c r="F1424" s="8"/>
      <c r="G1424" s="8"/>
      <c r="H1424" s="8"/>
      <c r="I1424" s="9"/>
      <c r="J1424" s="9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7"/>
      <c r="B1425" s="8"/>
      <c r="C1425" s="8"/>
      <c r="D1425" s="8"/>
      <c r="E1425" s="8"/>
      <c r="F1425" s="8"/>
      <c r="G1425" s="8"/>
      <c r="H1425" s="8"/>
      <c r="I1425" s="9"/>
      <c r="J1425" s="9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7"/>
      <c r="B1426" s="8"/>
      <c r="C1426" s="8"/>
      <c r="D1426" s="8"/>
      <c r="E1426" s="8"/>
      <c r="F1426" s="8"/>
      <c r="G1426" s="8"/>
      <c r="H1426" s="8"/>
      <c r="I1426" s="9"/>
      <c r="J1426" s="9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7"/>
      <c r="B1427" s="8"/>
      <c r="C1427" s="8"/>
      <c r="D1427" s="8"/>
      <c r="E1427" s="8"/>
      <c r="F1427" s="8"/>
      <c r="G1427" s="8"/>
      <c r="H1427" s="8"/>
      <c r="I1427" s="9"/>
      <c r="J1427" s="9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7"/>
      <c r="B1428" s="8"/>
      <c r="C1428" s="8"/>
      <c r="D1428" s="8"/>
      <c r="E1428" s="8"/>
      <c r="F1428" s="8"/>
      <c r="G1428" s="8"/>
      <c r="H1428" s="8"/>
      <c r="I1428" s="9"/>
      <c r="J1428" s="9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7"/>
      <c r="B1429" s="8"/>
      <c r="C1429" s="8"/>
      <c r="D1429" s="8"/>
      <c r="E1429" s="8"/>
      <c r="F1429" s="8"/>
      <c r="G1429" s="8"/>
      <c r="H1429" s="8"/>
      <c r="I1429" s="9"/>
      <c r="J1429" s="9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7"/>
      <c r="B1430" s="8"/>
      <c r="C1430" s="8"/>
      <c r="D1430" s="8"/>
      <c r="E1430" s="8"/>
      <c r="F1430" s="8"/>
      <c r="G1430" s="8"/>
      <c r="H1430" s="8"/>
      <c r="I1430" s="9"/>
      <c r="J1430" s="9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7"/>
      <c r="B1431" s="8"/>
      <c r="C1431" s="8"/>
      <c r="D1431" s="8"/>
      <c r="E1431" s="8"/>
      <c r="F1431" s="8"/>
      <c r="G1431" s="8"/>
      <c r="H1431" s="8"/>
      <c r="I1431" s="9"/>
      <c r="J1431" s="9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7"/>
      <c r="B1432" s="8"/>
      <c r="C1432" s="8"/>
      <c r="D1432" s="8"/>
      <c r="E1432" s="8"/>
      <c r="F1432" s="8"/>
      <c r="G1432" s="8"/>
      <c r="H1432" s="8"/>
      <c r="I1432" s="9"/>
      <c r="J1432" s="9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7"/>
      <c r="B1433" s="8"/>
      <c r="C1433" s="8"/>
      <c r="D1433" s="8"/>
      <c r="E1433" s="8"/>
      <c r="F1433" s="8"/>
      <c r="G1433" s="8"/>
      <c r="H1433" s="8"/>
      <c r="I1433" s="9"/>
      <c r="J1433" s="9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7"/>
      <c r="B1434" s="8"/>
      <c r="C1434" s="8"/>
      <c r="D1434" s="8"/>
      <c r="E1434" s="8"/>
      <c r="F1434" s="8"/>
      <c r="G1434" s="8"/>
      <c r="H1434" s="8"/>
      <c r="I1434" s="9"/>
      <c r="J1434" s="9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7"/>
      <c r="B1435" s="8"/>
      <c r="C1435" s="8"/>
      <c r="D1435" s="8"/>
      <c r="E1435" s="8"/>
      <c r="F1435" s="8"/>
      <c r="G1435" s="8"/>
      <c r="H1435" s="8"/>
      <c r="I1435" s="9"/>
      <c r="J1435" s="9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7"/>
      <c r="B1436" s="8"/>
      <c r="C1436" s="8"/>
      <c r="D1436" s="8"/>
      <c r="E1436" s="8"/>
      <c r="F1436" s="8"/>
      <c r="G1436" s="8"/>
      <c r="H1436" s="8"/>
      <c r="I1436" s="9"/>
      <c r="J1436" s="9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7"/>
      <c r="B1437" s="8"/>
      <c r="C1437" s="8"/>
      <c r="D1437" s="8"/>
      <c r="E1437" s="8"/>
      <c r="F1437" s="8"/>
      <c r="G1437" s="8"/>
      <c r="H1437" s="8"/>
      <c r="I1437" s="9"/>
      <c r="J1437" s="9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7"/>
      <c r="B1438" s="8"/>
      <c r="C1438" s="8"/>
      <c r="D1438" s="8"/>
      <c r="E1438" s="8"/>
      <c r="F1438" s="8"/>
      <c r="G1438" s="8"/>
      <c r="H1438" s="8"/>
      <c r="I1438" s="9"/>
      <c r="J1438" s="9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7"/>
      <c r="B1439" s="8"/>
      <c r="C1439" s="8"/>
      <c r="D1439" s="8"/>
      <c r="E1439" s="8"/>
      <c r="F1439" s="8"/>
      <c r="G1439" s="8"/>
      <c r="H1439" s="8"/>
      <c r="I1439" s="9"/>
      <c r="J1439" s="9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7"/>
      <c r="B1440" s="8"/>
      <c r="C1440" s="8"/>
      <c r="D1440" s="8"/>
      <c r="E1440" s="8"/>
      <c r="F1440" s="8"/>
      <c r="G1440" s="8"/>
      <c r="H1440" s="8"/>
      <c r="I1440" s="9"/>
      <c r="J1440" s="9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7"/>
      <c r="B1441" s="8"/>
      <c r="C1441" s="8"/>
      <c r="D1441" s="8"/>
      <c r="E1441" s="8"/>
      <c r="F1441" s="8"/>
      <c r="G1441" s="8"/>
      <c r="H1441" s="8"/>
      <c r="I1441" s="9"/>
      <c r="J1441" s="9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7"/>
      <c r="B1442" s="8"/>
      <c r="C1442" s="8"/>
      <c r="D1442" s="8"/>
      <c r="E1442" s="8"/>
      <c r="F1442" s="8"/>
      <c r="G1442" s="8"/>
      <c r="H1442" s="8"/>
      <c r="I1442" s="9"/>
      <c r="J1442" s="9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7"/>
      <c r="B1443" s="8"/>
      <c r="C1443" s="8"/>
      <c r="D1443" s="8"/>
      <c r="E1443" s="8"/>
      <c r="F1443" s="8"/>
      <c r="G1443" s="8"/>
      <c r="H1443" s="8"/>
      <c r="I1443" s="9"/>
      <c r="J1443" s="9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7"/>
      <c r="B1444" s="8"/>
      <c r="C1444" s="8"/>
      <c r="D1444" s="8"/>
      <c r="E1444" s="8"/>
      <c r="F1444" s="8"/>
      <c r="G1444" s="8"/>
      <c r="H1444" s="8"/>
      <c r="I1444" s="9"/>
      <c r="J1444" s="9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7"/>
      <c r="B1445" s="8"/>
      <c r="C1445" s="8"/>
      <c r="D1445" s="8"/>
      <c r="E1445" s="8"/>
      <c r="F1445" s="8"/>
      <c r="G1445" s="8"/>
      <c r="H1445" s="8"/>
      <c r="I1445" s="9"/>
      <c r="J1445" s="9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7"/>
      <c r="B1446" s="8"/>
      <c r="C1446" s="8"/>
      <c r="D1446" s="8"/>
      <c r="E1446" s="8"/>
      <c r="F1446" s="8"/>
      <c r="G1446" s="8"/>
      <c r="H1446" s="8"/>
      <c r="I1446" s="9"/>
      <c r="J1446" s="9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7"/>
      <c r="B1447" s="8"/>
      <c r="C1447" s="8"/>
      <c r="D1447" s="8"/>
      <c r="E1447" s="8"/>
      <c r="F1447" s="8"/>
      <c r="G1447" s="8"/>
      <c r="H1447" s="8"/>
      <c r="I1447" s="9"/>
      <c r="J1447" s="9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7"/>
      <c r="B1448" s="8"/>
      <c r="C1448" s="8"/>
      <c r="D1448" s="8"/>
      <c r="E1448" s="8"/>
      <c r="F1448" s="8"/>
      <c r="G1448" s="8"/>
      <c r="H1448" s="8"/>
      <c r="I1448" s="9"/>
      <c r="J1448" s="9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7"/>
      <c r="B1449" s="8"/>
      <c r="C1449" s="8"/>
      <c r="D1449" s="8"/>
      <c r="E1449" s="8"/>
      <c r="F1449" s="8"/>
      <c r="G1449" s="8"/>
      <c r="H1449" s="8"/>
      <c r="I1449" s="9"/>
      <c r="J1449" s="9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7"/>
      <c r="B1450" s="8"/>
      <c r="C1450" s="8"/>
      <c r="D1450" s="8"/>
      <c r="E1450" s="8"/>
      <c r="F1450" s="8"/>
      <c r="G1450" s="8"/>
      <c r="H1450" s="8"/>
      <c r="I1450" s="9"/>
      <c r="J1450" s="9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7"/>
      <c r="B1451" s="8"/>
      <c r="C1451" s="8"/>
      <c r="D1451" s="8"/>
      <c r="E1451" s="8"/>
      <c r="F1451" s="8"/>
      <c r="G1451" s="8"/>
      <c r="H1451" s="8"/>
      <c r="I1451" s="9"/>
      <c r="J1451" s="9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7"/>
      <c r="B1452" s="8"/>
      <c r="C1452" s="8"/>
      <c r="D1452" s="8"/>
      <c r="E1452" s="8"/>
      <c r="F1452" s="8"/>
      <c r="G1452" s="8"/>
      <c r="H1452" s="8"/>
      <c r="I1452" s="9"/>
      <c r="J1452" s="9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7"/>
      <c r="B1453" s="8"/>
      <c r="C1453" s="8"/>
      <c r="D1453" s="8"/>
      <c r="E1453" s="8"/>
      <c r="F1453" s="8"/>
      <c r="G1453" s="8"/>
      <c r="H1453" s="8"/>
      <c r="I1453" s="9"/>
      <c r="J1453" s="9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7"/>
      <c r="B1454" s="8"/>
      <c r="C1454" s="8"/>
      <c r="D1454" s="8"/>
      <c r="E1454" s="8"/>
      <c r="F1454" s="8"/>
      <c r="G1454" s="8"/>
      <c r="H1454" s="8"/>
      <c r="I1454" s="9"/>
      <c r="J1454" s="9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7"/>
      <c r="B1455" s="8"/>
      <c r="C1455" s="8"/>
      <c r="D1455" s="8"/>
      <c r="E1455" s="8"/>
      <c r="F1455" s="8"/>
      <c r="G1455" s="8"/>
      <c r="H1455" s="8"/>
      <c r="I1455" s="9"/>
      <c r="J1455" s="9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7"/>
      <c r="B1456" s="8"/>
      <c r="C1456" s="8"/>
      <c r="D1456" s="8"/>
      <c r="E1456" s="8"/>
      <c r="F1456" s="8"/>
      <c r="G1456" s="8"/>
      <c r="H1456" s="8"/>
      <c r="I1456" s="9"/>
      <c r="J1456" s="9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7"/>
      <c r="B1457" s="8"/>
      <c r="C1457" s="8"/>
      <c r="D1457" s="8"/>
      <c r="E1457" s="8"/>
      <c r="F1457" s="8"/>
      <c r="G1457" s="8"/>
      <c r="H1457" s="8"/>
      <c r="I1457" s="9"/>
      <c r="J1457" s="9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7"/>
      <c r="B1458" s="8"/>
      <c r="C1458" s="8"/>
      <c r="D1458" s="8"/>
      <c r="E1458" s="8"/>
      <c r="F1458" s="8"/>
      <c r="G1458" s="8"/>
      <c r="H1458" s="8"/>
      <c r="I1458" s="9"/>
      <c r="J1458" s="9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7"/>
      <c r="B1459" s="8"/>
      <c r="C1459" s="8"/>
      <c r="D1459" s="8"/>
      <c r="E1459" s="8"/>
      <c r="F1459" s="8"/>
      <c r="G1459" s="8"/>
      <c r="H1459" s="8"/>
      <c r="I1459" s="9"/>
      <c r="J1459" s="9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7"/>
      <c r="B1460" s="8"/>
      <c r="C1460" s="8"/>
      <c r="D1460" s="8"/>
      <c r="E1460" s="8"/>
      <c r="F1460" s="8"/>
      <c r="G1460" s="8"/>
      <c r="H1460" s="8"/>
      <c r="I1460" s="9"/>
      <c r="J1460" s="9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7"/>
      <c r="B1461" s="8"/>
      <c r="C1461" s="8"/>
      <c r="D1461" s="8"/>
      <c r="E1461" s="8"/>
      <c r="F1461" s="8"/>
      <c r="G1461" s="8"/>
      <c r="H1461" s="8"/>
      <c r="I1461" s="9"/>
      <c r="J1461" s="9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7"/>
      <c r="B1462" s="8"/>
      <c r="C1462" s="8"/>
      <c r="D1462" s="8"/>
      <c r="E1462" s="8"/>
      <c r="F1462" s="8"/>
      <c r="G1462" s="8"/>
      <c r="H1462" s="8"/>
      <c r="I1462" s="9"/>
      <c r="J1462" s="9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7"/>
      <c r="B1463" s="8"/>
      <c r="C1463" s="8"/>
      <c r="D1463" s="8"/>
      <c r="E1463" s="8"/>
      <c r="F1463" s="8"/>
      <c r="G1463" s="8"/>
      <c r="H1463" s="8"/>
      <c r="I1463" s="9"/>
      <c r="J1463" s="9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7"/>
      <c r="B1464" s="8"/>
      <c r="C1464" s="8"/>
      <c r="D1464" s="8"/>
      <c r="E1464" s="8"/>
      <c r="F1464" s="8"/>
      <c r="G1464" s="8"/>
      <c r="H1464" s="8"/>
      <c r="I1464" s="9"/>
      <c r="J1464" s="9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7"/>
      <c r="B1465" s="8"/>
      <c r="C1465" s="8"/>
      <c r="D1465" s="8"/>
      <c r="E1465" s="8"/>
      <c r="F1465" s="8"/>
      <c r="G1465" s="8"/>
      <c r="H1465" s="8"/>
      <c r="I1465" s="9"/>
      <c r="J1465" s="9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7"/>
      <c r="B1466" s="8"/>
      <c r="C1466" s="8"/>
      <c r="D1466" s="8"/>
      <c r="E1466" s="8"/>
      <c r="F1466" s="8"/>
      <c r="G1466" s="8"/>
      <c r="H1466" s="8"/>
      <c r="I1466" s="9"/>
      <c r="J1466" s="9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7"/>
      <c r="B1467" s="8"/>
      <c r="C1467" s="8"/>
      <c r="D1467" s="8"/>
      <c r="E1467" s="8"/>
      <c r="F1467" s="8"/>
      <c r="G1467" s="8"/>
      <c r="H1467" s="8"/>
      <c r="I1467" s="9"/>
      <c r="J1467" s="9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7"/>
      <c r="B1468" s="8"/>
      <c r="C1468" s="8"/>
      <c r="D1468" s="8"/>
      <c r="E1468" s="8"/>
      <c r="F1468" s="8"/>
      <c r="G1468" s="8"/>
      <c r="H1468" s="8"/>
      <c r="I1468" s="9"/>
      <c r="J1468" s="9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7"/>
      <c r="B1469" s="8"/>
      <c r="C1469" s="8"/>
      <c r="D1469" s="8"/>
      <c r="E1469" s="8"/>
      <c r="F1469" s="8"/>
      <c r="G1469" s="8"/>
      <c r="H1469" s="8"/>
      <c r="I1469" s="9"/>
      <c r="J1469" s="9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7"/>
      <c r="B1470" s="8"/>
      <c r="C1470" s="8"/>
      <c r="D1470" s="8"/>
      <c r="E1470" s="8"/>
      <c r="F1470" s="8"/>
      <c r="G1470" s="8"/>
      <c r="H1470" s="8"/>
      <c r="I1470" s="9"/>
      <c r="J1470" s="9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7"/>
      <c r="B1471" s="8"/>
      <c r="C1471" s="8"/>
      <c r="D1471" s="8"/>
      <c r="E1471" s="8"/>
      <c r="F1471" s="8"/>
      <c r="G1471" s="8"/>
      <c r="H1471" s="8"/>
      <c r="I1471" s="9"/>
      <c r="J1471" s="9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7"/>
      <c r="B1472" s="8"/>
      <c r="C1472" s="8"/>
      <c r="D1472" s="8"/>
      <c r="E1472" s="8"/>
      <c r="F1472" s="8"/>
      <c r="G1472" s="8"/>
      <c r="H1472" s="8"/>
      <c r="I1472" s="9"/>
      <c r="J1472" s="9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7"/>
      <c r="B1473" s="8"/>
      <c r="C1473" s="8"/>
      <c r="D1473" s="8"/>
      <c r="E1473" s="8"/>
      <c r="F1473" s="8"/>
      <c r="G1473" s="8"/>
      <c r="H1473" s="8"/>
      <c r="I1473" s="9"/>
      <c r="J1473" s="9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7"/>
      <c r="B1474" s="8"/>
      <c r="C1474" s="8"/>
      <c r="D1474" s="8"/>
      <c r="E1474" s="8"/>
      <c r="F1474" s="8"/>
      <c r="G1474" s="8"/>
      <c r="H1474" s="8"/>
      <c r="I1474" s="9"/>
      <c r="J1474" s="9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7"/>
      <c r="B1475" s="8"/>
      <c r="C1475" s="8"/>
      <c r="D1475" s="8"/>
      <c r="E1475" s="8"/>
      <c r="F1475" s="8"/>
      <c r="G1475" s="8"/>
      <c r="H1475" s="8"/>
      <c r="I1475" s="9"/>
      <c r="J1475" s="9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7"/>
      <c r="B1476" s="8"/>
      <c r="C1476" s="8"/>
      <c r="D1476" s="8"/>
      <c r="E1476" s="8"/>
      <c r="F1476" s="8"/>
      <c r="G1476" s="8"/>
      <c r="H1476" s="8"/>
      <c r="I1476" s="9"/>
      <c r="J1476" s="9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7"/>
      <c r="B1477" s="8"/>
      <c r="C1477" s="8"/>
      <c r="D1477" s="8"/>
      <c r="E1477" s="8"/>
      <c r="F1477" s="8"/>
      <c r="G1477" s="8"/>
      <c r="H1477" s="8"/>
      <c r="I1477" s="9"/>
      <c r="J1477" s="9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7"/>
      <c r="B1478" s="8"/>
      <c r="C1478" s="8"/>
      <c r="D1478" s="8"/>
      <c r="E1478" s="8"/>
      <c r="F1478" s="8"/>
      <c r="G1478" s="8"/>
      <c r="H1478" s="8"/>
      <c r="I1478" s="9"/>
      <c r="J1478" s="9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7"/>
      <c r="B1479" s="8"/>
      <c r="C1479" s="8"/>
      <c r="D1479" s="8"/>
      <c r="E1479" s="8"/>
      <c r="F1479" s="8"/>
      <c r="G1479" s="8"/>
      <c r="H1479" s="8"/>
      <c r="I1479" s="9"/>
      <c r="J1479" s="9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7"/>
      <c r="B1480" s="8"/>
      <c r="C1480" s="8"/>
      <c r="D1480" s="8"/>
      <c r="E1480" s="8"/>
      <c r="F1480" s="8"/>
      <c r="G1480" s="8"/>
      <c r="H1480" s="8"/>
      <c r="I1480" s="9"/>
      <c r="J1480" s="9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7"/>
      <c r="B1481" s="8"/>
      <c r="C1481" s="8"/>
      <c r="D1481" s="8"/>
      <c r="E1481" s="8"/>
      <c r="F1481" s="8"/>
      <c r="G1481" s="8"/>
      <c r="H1481" s="8"/>
      <c r="I1481" s="9"/>
      <c r="J1481" s="9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7"/>
      <c r="B1482" s="8"/>
      <c r="C1482" s="8"/>
      <c r="D1482" s="8"/>
      <c r="E1482" s="8"/>
      <c r="F1482" s="8"/>
      <c r="G1482" s="8"/>
      <c r="H1482" s="8"/>
      <c r="I1482" s="9"/>
      <c r="J1482" s="9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7"/>
      <c r="B1483" s="8"/>
      <c r="C1483" s="8"/>
      <c r="D1483" s="8"/>
      <c r="E1483" s="8"/>
      <c r="F1483" s="8"/>
      <c r="G1483" s="8"/>
      <c r="H1483" s="8"/>
      <c r="I1483" s="9"/>
      <c r="J1483" s="9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7"/>
      <c r="B1484" s="8"/>
      <c r="C1484" s="8"/>
      <c r="D1484" s="8"/>
      <c r="E1484" s="8"/>
      <c r="F1484" s="8"/>
      <c r="G1484" s="8"/>
      <c r="H1484" s="8"/>
      <c r="I1484" s="9"/>
      <c r="J1484" s="9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7"/>
      <c r="B1485" s="8"/>
      <c r="C1485" s="8"/>
      <c r="D1485" s="8"/>
      <c r="E1485" s="8"/>
      <c r="F1485" s="8"/>
      <c r="G1485" s="8"/>
      <c r="H1485" s="8"/>
      <c r="I1485" s="9"/>
      <c r="J1485" s="9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7"/>
      <c r="B1486" s="8"/>
      <c r="C1486" s="8"/>
      <c r="D1486" s="8"/>
      <c r="E1486" s="8"/>
      <c r="F1486" s="8"/>
      <c r="G1486" s="8"/>
      <c r="H1486" s="8"/>
      <c r="I1486" s="9"/>
      <c r="J1486" s="9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7"/>
      <c r="B1487" s="8"/>
      <c r="C1487" s="8"/>
      <c r="D1487" s="8"/>
      <c r="E1487" s="8"/>
      <c r="F1487" s="8"/>
      <c r="G1487" s="8"/>
      <c r="H1487" s="8"/>
      <c r="I1487" s="9"/>
      <c r="J1487" s="9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7"/>
      <c r="B1488" s="8"/>
      <c r="C1488" s="8"/>
      <c r="D1488" s="8"/>
      <c r="E1488" s="8"/>
      <c r="F1488" s="8"/>
      <c r="G1488" s="8"/>
      <c r="H1488" s="8"/>
      <c r="I1488" s="9"/>
      <c r="J1488" s="9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7"/>
      <c r="B1489" s="8"/>
      <c r="C1489" s="8"/>
      <c r="D1489" s="8"/>
      <c r="E1489" s="8"/>
      <c r="F1489" s="8"/>
      <c r="G1489" s="8"/>
      <c r="H1489" s="8"/>
      <c r="I1489" s="9"/>
      <c r="J1489" s="9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7"/>
      <c r="B1490" s="8"/>
      <c r="C1490" s="8"/>
      <c r="D1490" s="8"/>
      <c r="E1490" s="8"/>
      <c r="F1490" s="8"/>
      <c r="G1490" s="8"/>
      <c r="H1490" s="8"/>
      <c r="I1490" s="9"/>
      <c r="J1490" s="9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7"/>
      <c r="B1491" s="8"/>
      <c r="C1491" s="8"/>
      <c r="D1491" s="8"/>
      <c r="E1491" s="8"/>
      <c r="F1491" s="8"/>
      <c r="G1491" s="8"/>
      <c r="H1491" s="8"/>
      <c r="I1491" s="9"/>
      <c r="J1491" s="9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7"/>
      <c r="B1492" s="8"/>
      <c r="C1492" s="8"/>
      <c r="D1492" s="8"/>
      <c r="E1492" s="8"/>
      <c r="F1492" s="8"/>
      <c r="G1492" s="8"/>
      <c r="H1492" s="8"/>
      <c r="I1492" s="9"/>
      <c r="J1492" s="9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7"/>
      <c r="B1493" s="8"/>
      <c r="C1493" s="8"/>
      <c r="D1493" s="8"/>
      <c r="E1493" s="8"/>
      <c r="F1493" s="8"/>
      <c r="G1493" s="8"/>
      <c r="H1493" s="8"/>
      <c r="I1493" s="9"/>
      <c r="J1493" s="9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7"/>
      <c r="B1494" s="8"/>
      <c r="C1494" s="8"/>
      <c r="D1494" s="8"/>
      <c r="E1494" s="8"/>
      <c r="F1494" s="8"/>
      <c r="G1494" s="8"/>
      <c r="H1494" s="8"/>
      <c r="I1494" s="9"/>
      <c r="J1494" s="9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7"/>
      <c r="B1495" s="8"/>
      <c r="C1495" s="8"/>
      <c r="D1495" s="8"/>
      <c r="E1495" s="8"/>
      <c r="F1495" s="8"/>
      <c r="G1495" s="8"/>
      <c r="H1495" s="8"/>
      <c r="I1495" s="9"/>
      <c r="J1495" s="9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7"/>
      <c r="B1496" s="8"/>
      <c r="C1496" s="8"/>
      <c r="D1496" s="8"/>
      <c r="E1496" s="8"/>
      <c r="F1496" s="8"/>
      <c r="G1496" s="8"/>
      <c r="H1496" s="8"/>
      <c r="I1496" s="9"/>
      <c r="J1496" s="9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7"/>
      <c r="B1497" s="8"/>
      <c r="C1497" s="8"/>
      <c r="D1497" s="8"/>
      <c r="E1497" s="8"/>
      <c r="F1497" s="8"/>
      <c r="G1497" s="8"/>
      <c r="H1497" s="8"/>
      <c r="I1497" s="9"/>
      <c r="J1497" s="9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7"/>
      <c r="B1498" s="8"/>
      <c r="C1498" s="8"/>
      <c r="D1498" s="8"/>
      <c r="E1498" s="8"/>
      <c r="F1498" s="8"/>
      <c r="G1498" s="8"/>
      <c r="H1498" s="8"/>
      <c r="I1498" s="9"/>
      <c r="J1498" s="9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7"/>
      <c r="B1499" s="8"/>
      <c r="C1499" s="8"/>
      <c r="D1499" s="8"/>
      <c r="E1499" s="8"/>
      <c r="F1499" s="8"/>
      <c r="G1499" s="8"/>
      <c r="H1499" s="8"/>
      <c r="I1499" s="9"/>
      <c r="J1499" s="9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7"/>
      <c r="B1500" s="8"/>
      <c r="C1500" s="8"/>
      <c r="D1500" s="8"/>
      <c r="E1500" s="8"/>
      <c r="F1500" s="8"/>
      <c r="G1500" s="8"/>
      <c r="H1500" s="8"/>
      <c r="I1500" s="9"/>
      <c r="J1500" s="9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7"/>
      <c r="B1501" s="8"/>
      <c r="C1501" s="8"/>
      <c r="D1501" s="8"/>
      <c r="E1501" s="8"/>
      <c r="F1501" s="8"/>
      <c r="G1501" s="8"/>
      <c r="H1501" s="8"/>
      <c r="I1501" s="9"/>
      <c r="J1501" s="9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7"/>
      <c r="B1502" s="8"/>
      <c r="C1502" s="8"/>
      <c r="D1502" s="8"/>
      <c r="E1502" s="8"/>
      <c r="F1502" s="8"/>
      <c r="G1502" s="8"/>
      <c r="H1502" s="8"/>
      <c r="I1502" s="9"/>
      <c r="J1502" s="9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7"/>
      <c r="B1503" s="8"/>
      <c r="C1503" s="8"/>
      <c r="D1503" s="8"/>
      <c r="E1503" s="8"/>
      <c r="F1503" s="8"/>
      <c r="G1503" s="8"/>
      <c r="H1503" s="8"/>
      <c r="I1503" s="9"/>
      <c r="J1503" s="9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7"/>
      <c r="B1504" s="8"/>
      <c r="C1504" s="8"/>
      <c r="D1504" s="8"/>
      <c r="E1504" s="8"/>
      <c r="F1504" s="8"/>
      <c r="G1504" s="8"/>
      <c r="H1504" s="8"/>
      <c r="I1504" s="9"/>
      <c r="J1504" s="9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7"/>
      <c r="B1505" s="8"/>
      <c r="C1505" s="8"/>
      <c r="D1505" s="8"/>
      <c r="E1505" s="8"/>
      <c r="F1505" s="8"/>
      <c r="G1505" s="8"/>
      <c r="H1505" s="8"/>
      <c r="I1505" s="9"/>
      <c r="J1505" s="9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7"/>
      <c r="B1506" s="8"/>
      <c r="C1506" s="8"/>
      <c r="D1506" s="8"/>
      <c r="E1506" s="8"/>
      <c r="F1506" s="8"/>
      <c r="G1506" s="8"/>
      <c r="H1506" s="8"/>
      <c r="I1506" s="9"/>
      <c r="J1506" s="9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7"/>
      <c r="B1507" s="8"/>
      <c r="C1507" s="8"/>
      <c r="D1507" s="8"/>
      <c r="E1507" s="8"/>
      <c r="F1507" s="8"/>
      <c r="G1507" s="8"/>
      <c r="H1507" s="8"/>
      <c r="I1507" s="9"/>
      <c r="J1507" s="9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7"/>
      <c r="B1508" s="8"/>
      <c r="C1508" s="8"/>
      <c r="D1508" s="8"/>
      <c r="E1508" s="8"/>
      <c r="F1508" s="8"/>
      <c r="G1508" s="8"/>
      <c r="H1508" s="8"/>
      <c r="I1508" s="9"/>
      <c r="J1508" s="9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7"/>
      <c r="B1509" s="8"/>
      <c r="C1509" s="8"/>
      <c r="D1509" s="8"/>
      <c r="E1509" s="8"/>
      <c r="F1509" s="8"/>
      <c r="G1509" s="8"/>
      <c r="H1509" s="8"/>
      <c r="I1509" s="9"/>
      <c r="J1509" s="9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7"/>
      <c r="B1510" s="8"/>
      <c r="C1510" s="8"/>
      <c r="D1510" s="8"/>
      <c r="E1510" s="8"/>
      <c r="F1510" s="8"/>
      <c r="G1510" s="8"/>
      <c r="H1510" s="8"/>
      <c r="I1510" s="9"/>
      <c r="J1510" s="9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7"/>
      <c r="B1511" s="8"/>
      <c r="C1511" s="8"/>
      <c r="D1511" s="8"/>
      <c r="E1511" s="8"/>
      <c r="F1511" s="8"/>
      <c r="G1511" s="8"/>
      <c r="H1511" s="8"/>
      <c r="I1511" s="9"/>
      <c r="J1511" s="9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7"/>
      <c r="B1512" s="8"/>
      <c r="C1512" s="8"/>
      <c r="D1512" s="8"/>
      <c r="E1512" s="8"/>
      <c r="F1512" s="8"/>
      <c r="G1512" s="8"/>
      <c r="H1512" s="8"/>
      <c r="I1512" s="9"/>
      <c r="J1512" s="9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7"/>
      <c r="B1513" s="8"/>
      <c r="C1513" s="8"/>
      <c r="D1513" s="8"/>
      <c r="E1513" s="8"/>
      <c r="F1513" s="8"/>
      <c r="G1513" s="8"/>
      <c r="H1513" s="8"/>
      <c r="I1513" s="9"/>
      <c r="J1513" s="9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7"/>
      <c r="B1514" s="8"/>
      <c r="C1514" s="8"/>
      <c r="D1514" s="8"/>
      <c r="E1514" s="8"/>
      <c r="F1514" s="8"/>
      <c r="G1514" s="8"/>
      <c r="H1514" s="8"/>
      <c r="I1514" s="9"/>
      <c r="J1514" s="9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7"/>
      <c r="B1515" s="8"/>
      <c r="C1515" s="8"/>
      <c r="D1515" s="8"/>
      <c r="E1515" s="8"/>
      <c r="F1515" s="8"/>
      <c r="G1515" s="8"/>
      <c r="H1515" s="8"/>
      <c r="I1515" s="9"/>
      <c r="J1515" s="9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7"/>
      <c r="B1516" s="8"/>
      <c r="C1516" s="8"/>
      <c r="D1516" s="8"/>
      <c r="E1516" s="8"/>
      <c r="F1516" s="8"/>
      <c r="G1516" s="8"/>
      <c r="H1516" s="8"/>
      <c r="I1516" s="9"/>
      <c r="J1516" s="9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7"/>
      <c r="B1517" s="8"/>
      <c r="C1517" s="8"/>
      <c r="D1517" s="8"/>
      <c r="E1517" s="8"/>
      <c r="F1517" s="8"/>
      <c r="G1517" s="8"/>
      <c r="H1517" s="8"/>
      <c r="I1517" s="9"/>
      <c r="J1517" s="9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7"/>
      <c r="B1518" s="8"/>
      <c r="C1518" s="8"/>
      <c r="D1518" s="8"/>
      <c r="E1518" s="8"/>
      <c r="F1518" s="8"/>
      <c r="G1518" s="8"/>
      <c r="H1518" s="8"/>
      <c r="I1518" s="9"/>
      <c r="J1518" s="9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7"/>
      <c r="B1519" s="8"/>
      <c r="C1519" s="8"/>
      <c r="D1519" s="8"/>
      <c r="E1519" s="8"/>
      <c r="F1519" s="8"/>
      <c r="G1519" s="8"/>
      <c r="H1519" s="8"/>
      <c r="I1519" s="9"/>
      <c r="J1519" s="9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7"/>
      <c r="B1520" s="8"/>
      <c r="C1520" s="8"/>
      <c r="D1520" s="8"/>
      <c r="E1520" s="8"/>
      <c r="F1520" s="8"/>
      <c r="G1520" s="8"/>
      <c r="H1520" s="8"/>
      <c r="I1520" s="9"/>
      <c r="J1520" s="9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7"/>
      <c r="B1521" s="8"/>
      <c r="C1521" s="8"/>
      <c r="D1521" s="8"/>
      <c r="E1521" s="8"/>
      <c r="F1521" s="8"/>
      <c r="G1521" s="8"/>
      <c r="H1521" s="8"/>
      <c r="I1521" s="9"/>
      <c r="J1521" s="9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7"/>
      <c r="B1522" s="8"/>
      <c r="C1522" s="8"/>
      <c r="D1522" s="8"/>
      <c r="E1522" s="8"/>
      <c r="F1522" s="8"/>
      <c r="G1522" s="8"/>
      <c r="H1522" s="8"/>
      <c r="I1522" s="9"/>
      <c r="J1522" s="9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7"/>
      <c r="B1523" s="8"/>
      <c r="C1523" s="8"/>
      <c r="D1523" s="8"/>
      <c r="E1523" s="8"/>
      <c r="F1523" s="8"/>
      <c r="G1523" s="8"/>
      <c r="H1523" s="8"/>
      <c r="I1523" s="9"/>
      <c r="J1523" s="9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7"/>
      <c r="B1524" s="8"/>
      <c r="C1524" s="8"/>
      <c r="D1524" s="8"/>
      <c r="E1524" s="8"/>
      <c r="F1524" s="8"/>
      <c r="G1524" s="8"/>
      <c r="H1524" s="8"/>
      <c r="I1524" s="9"/>
      <c r="J1524" s="9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7"/>
      <c r="B1525" s="8"/>
      <c r="C1525" s="8"/>
      <c r="D1525" s="8"/>
      <c r="E1525" s="8"/>
      <c r="F1525" s="8"/>
      <c r="G1525" s="8"/>
      <c r="H1525" s="8"/>
      <c r="I1525" s="9"/>
      <c r="J1525" s="9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7"/>
      <c r="B1526" s="8"/>
      <c r="C1526" s="8"/>
      <c r="D1526" s="8"/>
      <c r="E1526" s="8"/>
      <c r="F1526" s="8"/>
      <c r="G1526" s="8"/>
      <c r="H1526" s="8"/>
      <c r="I1526" s="9"/>
      <c r="J1526" s="9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7"/>
      <c r="B1527" s="8"/>
      <c r="C1527" s="8"/>
      <c r="D1527" s="8"/>
      <c r="E1527" s="8"/>
      <c r="F1527" s="8"/>
      <c r="G1527" s="8"/>
      <c r="H1527" s="8"/>
      <c r="I1527" s="9"/>
      <c r="J1527" s="9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7"/>
      <c r="B1528" s="8"/>
      <c r="C1528" s="8"/>
      <c r="D1528" s="8"/>
      <c r="E1528" s="8"/>
      <c r="F1528" s="8"/>
      <c r="G1528" s="8"/>
      <c r="H1528" s="8"/>
      <c r="I1528" s="9"/>
      <c r="J1528" s="9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7"/>
      <c r="B1529" s="8"/>
      <c r="C1529" s="8"/>
      <c r="D1529" s="8"/>
      <c r="E1529" s="8"/>
      <c r="F1529" s="8"/>
      <c r="G1529" s="8"/>
      <c r="H1529" s="8"/>
      <c r="I1529" s="9"/>
      <c r="J1529" s="9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7"/>
      <c r="B1530" s="8"/>
      <c r="C1530" s="8"/>
      <c r="D1530" s="8"/>
      <c r="E1530" s="8"/>
      <c r="F1530" s="8"/>
      <c r="G1530" s="8"/>
      <c r="H1530" s="8"/>
      <c r="I1530" s="9"/>
      <c r="J1530" s="9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7"/>
      <c r="B1531" s="8"/>
      <c r="C1531" s="8"/>
      <c r="D1531" s="8"/>
      <c r="E1531" s="8"/>
      <c r="F1531" s="8"/>
      <c r="G1531" s="8"/>
      <c r="H1531" s="8"/>
      <c r="I1531" s="9"/>
      <c r="J1531" s="9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7"/>
      <c r="B1532" s="8"/>
      <c r="C1532" s="8"/>
      <c r="D1532" s="8"/>
      <c r="E1532" s="8"/>
      <c r="F1532" s="8"/>
      <c r="G1532" s="8"/>
      <c r="H1532" s="8"/>
      <c r="I1532" s="9"/>
      <c r="J1532" s="9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7"/>
      <c r="B1533" s="8"/>
      <c r="C1533" s="8"/>
      <c r="D1533" s="8"/>
      <c r="E1533" s="8"/>
      <c r="F1533" s="8"/>
      <c r="G1533" s="8"/>
      <c r="H1533" s="8"/>
      <c r="I1533" s="9"/>
      <c r="J1533" s="9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7"/>
      <c r="B1534" s="8"/>
      <c r="C1534" s="8"/>
      <c r="D1534" s="8"/>
      <c r="E1534" s="8"/>
      <c r="F1534" s="8"/>
      <c r="G1534" s="8"/>
      <c r="H1534" s="8"/>
      <c r="I1534" s="9"/>
      <c r="J1534" s="9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7"/>
      <c r="B1535" s="8"/>
      <c r="C1535" s="8"/>
      <c r="D1535" s="8"/>
      <c r="E1535" s="8"/>
      <c r="F1535" s="8"/>
      <c r="G1535" s="8"/>
      <c r="H1535" s="8"/>
      <c r="I1535" s="9"/>
      <c r="J1535" s="9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7"/>
      <c r="B1536" s="8"/>
      <c r="C1536" s="8"/>
      <c r="D1536" s="8"/>
      <c r="E1536" s="8"/>
      <c r="F1536" s="8"/>
      <c r="G1536" s="8"/>
      <c r="H1536" s="8"/>
      <c r="I1536" s="9"/>
      <c r="J1536" s="9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7"/>
      <c r="B1537" s="8"/>
      <c r="C1537" s="8"/>
      <c r="D1537" s="8"/>
      <c r="E1537" s="8"/>
      <c r="F1537" s="8"/>
      <c r="G1537" s="8"/>
      <c r="H1537" s="8"/>
      <c r="I1537" s="9"/>
      <c r="J1537" s="9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7"/>
      <c r="B1538" s="8"/>
      <c r="C1538" s="8"/>
      <c r="D1538" s="8"/>
      <c r="E1538" s="8"/>
      <c r="F1538" s="8"/>
      <c r="G1538" s="8"/>
      <c r="H1538" s="8"/>
      <c r="I1538" s="9"/>
      <c r="J1538" s="9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7"/>
      <c r="B1539" s="8"/>
      <c r="C1539" s="8"/>
      <c r="D1539" s="8"/>
      <c r="E1539" s="8"/>
      <c r="F1539" s="8"/>
      <c r="G1539" s="8"/>
      <c r="H1539" s="8"/>
      <c r="I1539" s="9"/>
      <c r="J1539" s="9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7"/>
      <c r="B1540" s="8"/>
      <c r="C1540" s="8"/>
      <c r="D1540" s="8"/>
      <c r="E1540" s="8"/>
      <c r="F1540" s="8"/>
      <c r="G1540" s="8"/>
      <c r="H1540" s="8"/>
      <c r="I1540" s="9"/>
      <c r="J1540" s="9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7"/>
      <c r="B1541" s="8"/>
      <c r="C1541" s="8"/>
      <c r="D1541" s="8"/>
      <c r="E1541" s="8"/>
      <c r="F1541" s="8"/>
      <c r="G1541" s="8"/>
      <c r="H1541" s="8"/>
      <c r="I1541" s="9"/>
      <c r="J1541" s="9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7"/>
      <c r="B1542" s="8"/>
      <c r="C1542" s="8"/>
      <c r="D1542" s="8"/>
      <c r="E1542" s="8"/>
      <c r="F1542" s="8"/>
      <c r="G1542" s="8"/>
      <c r="H1542" s="8"/>
      <c r="I1542" s="9"/>
      <c r="J1542" s="9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7"/>
      <c r="B1543" s="8"/>
      <c r="C1543" s="8"/>
      <c r="D1543" s="8"/>
      <c r="E1543" s="8"/>
      <c r="F1543" s="8"/>
      <c r="G1543" s="8"/>
      <c r="H1543" s="8"/>
      <c r="I1543" s="9"/>
      <c r="J1543" s="9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7"/>
      <c r="B1544" s="8"/>
      <c r="C1544" s="8"/>
      <c r="D1544" s="8"/>
      <c r="E1544" s="8"/>
      <c r="F1544" s="8"/>
      <c r="G1544" s="8"/>
      <c r="H1544" s="8"/>
      <c r="I1544" s="9"/>
      <c r="J1544" s="9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7"/>
      <c r="B1545" s="8"/>
      <c r="C1545" s="8"/>
      <c r="D1545" s="8"/>
      <c r="E1545" s="8"/>
      <c r="F1545" s="8"/>
      <c r="G1545" s="8"/>
      <c r="H1545" s="8"/>
      <c r="I1545" s="9"/>
      <c r="J1545" s="9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7"/>
      <c r="B1546" s="8"/>
      <c r="C1546" s="8"/>
      <c r="D1546" s="8"/>
      <c r="E1546" s="8"/>
      <c r="F1546" s="8"/>
      <c r="G1546" s="8"/>
      <c r="H1546" s="8"/>
      <c r="I1546" s="9"/>
      <c r="J1546" s="9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7"/>
      <c r="B1547" s="8"/>
      <c r="C1547" s="8"/>
      <c r="D1547" s="8"/>
      <c r="E1547" s="8"/>
      <c r="F1547" s="8"/>
      <c r="G1547" s="8"/>
      <c r="H1547" s="8"/>
      <c r="I1547" s="9"/>
      <c r="J1547" s="9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7"/>
      <c r="B1548" s="8"/>
      <c r="C1548" s="8"/>
      <c r="D1548" s="8"/>
      <c r="E1548" s="8"/>
      <c r="F1548" s="8"/>
      <c r="G1548" s="8"/>
      <c r="H1548" s="8"/>
      <c r="I1548" s="9"/>
      <c r="J1548" s="9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7"/>
      <c r="B1549" s="8"/>
      <c r="C1549" s="8"/>
      <c r="D1549" s="8"/>
      <c r="E1549" s="8"/>
      <c r="F1549" s="8"/>
      <c r="G1549" s="8"/>
      <c r="H1549" s="8"/>
      <c r="I1549" s="9"/>
      <c r="J1549" s="9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7"/>
      <c r="B1550" s="8"/>
      <c r="C1550" s="8"/>
      <c r="D1550" s="8"/>
      <c r="E1550" s="8"/>
      <c r="F1550" s="8"/>
      <c r="G1550" s="8"/>
      <c r="H1550" s="8"/>
      <c r="I1550" s="9"/>
      <c r="J1550" s="9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7"/>
      <c r="B1551" s="8"/>
      <c r="C1551" s="8"/>
      <c r="D1551" s="8"/>
      <c r="E1551" s="8"/>
      <c r="F1551" s="8"/>
      <c r="G1551" s="8"/>
      <c r="H1551" s="8"/>
      <c r="I1551" s="9"/>
      <c r="J1551" s="9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7"/>
      <c r="B1552" s="8"/>
      <c r="C1552" s="8"/>
      <c r="D1552" s="8"/>
      <c r="E1552" s="8"/>
      <c r="F1552" s="8"/>
      <c r="G1552" s="8"/>
      <c r="H1552" s="8"/>
      <c r="I1552" s="9"/>
      <c r="J1552" s="9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7"/>
      <c r="B1553" s="8"/>
      <c r="C1553" s="8"/>
      <c r="D1553" s="8"/>
      <c r="E1553" s="8"/>
      <c r="F1553" s="8"/>
      <c r="G1553" s="8"/>
      <c r="H1553" s="8"/>
      <c r="I1553" s="9"/>
      <c r="J1553" s="9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7"/>
      <c r="B1554" s="8"/>
      <c r="C1554" s="8"/>
      <c r="D1554" s="8"/>
      <c r="E1554" s="8"/>
      <c r="F1554" s="8"/>
      <c r="G1554" s="8"/>
      <c r="H1554" s="8"/>
      <c r="I1554" s="9"/>
      <c r="J1554" s="9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7"/>
      <c r="B1555" s="8"/>
      <c r="C1555" s="8"/>
      <c r="D1555" s="8"/>
      <c r="E1555" s="8"/>
      <c r="F1555" s="8"/>
      <c r="G1555" s="8"/>
      <c r="H1555" s="8"/>
      <c r="I1555" s="9"/>
      <c r="J1555" s="9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7"/>
      <c r="B1556" s="8"/>
      <c r="C1556" s="8"/>
      <c r="D1556" s="8"/>
      <c r="E1556" s="8"/>
      <c r="F1556" s="8"/>
      <c r="G1556" s="8"/>
      <c r="H1556" s="8"/>
      <c r="I1556" s="9"/>
      <c r="J1556" s="9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7"/>
      <c r="B1557" s="8"/>
      <c r="C1557" s="8"/>
      <c r="D1557" s="8"/>
      <c r="E1557" s="8"/>
      <c r="F1557" s="8"/>
      <c r="G1557" s="8"/>
      <c r="H1557" s="8"/>
      <c r="I1557" s="9"/>
      <c r="J1557" s="9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7"/>
      <c r="B1558" s="8"/>
      <c r="C1558" s="8"/>
      <c r="D1558" s="8"/>
      <c r="E1558" s="8"/>
      <c r="F1558" s="8"/>
      <c r="G1558" s="8"/>
      <c r="H1558" s="8"/>
      <c r="I1558" s="9"/>
      <c r="J1558" s="9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7"/>
      <c r="B1559" s="8"/>
      <c r="C1559" s="8"/>
      <c r="D1559" s="8"/>
      <c r="E1559" s="8"/>
      <c r="F1559" s="8"/>
      <c r="G1559" s="8"/>
      <c r="H1559" s="8"/>
      <c r="I1559" s="9"/>
      <c r="J1559" s="9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7"/>
      <c r="B1560" s="8"/>
      <c r="C1560" s="8"/>
      <c r="D1560" s="8"/>
      <c r="E1560" s="8"/>
      <c r="F1560" s="8"/>
      <c r="G1560" s="8"/>
      <c r="H1560" s="8"/>
      <c r="I1560" s="9"/>
      <c r="J1560" s="9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7"/>
      <c r="B1561" s="8"/>
      <c r="C1561" s="8"/>
      <c r="D1561" s="8"/>
      <c r="E1561" s="8"/>
      <c r="F1561" s="8"/>
      <c r="G1561" s="8"/>
      <c r="H1561" s="8"/>
      <c r="I1561" s="9"/>
      <c r="J1561" s="9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7"/>
      <c r="B1562" s="8"/>
      <c r="C1562" s="8"/>
      <c r="D1562" s="8"/>
      <c r="E1562" s="8"/>
      <c r="F1562" s="8"/>
      <c r="G1562" s="8"/>
      <c r="H1562" s="8"/>
      <c r="I1562" s="9"/>
      <c r="J1562" s="9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7"/>
      <c r="B1563" s="8"/>
      <c r="C1563" s="8"/>
      <c r="D1563" s="8"/>
      <c r="E1563" s="8"/>
      <c r="F1563" s="8"/>
      <c r="G1563" s="8"/>
      <c r="H1563" s="8"/>
      <c r="I1563" s="9"/>
      <c r="J1563" s="9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7"/>
      <c r="B1564" s="8"/>
      <c r="C1564" s="8"/>
      <c r="D1564" s="8"/>
      <c r="E1564" s="8"/>
      <c r="F1564" s="8"/>
      <c r="G1564" s="8"/>
      <c r="H1564" s="8"/>
      <c r="I1564" s="9"/>
      <c r="J1564" s="9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7"/>
      <c r="B1565" s="8"/>
      <c r="C1565" s="8"/>
      <c r="D1565" s="8"/>
      <c r="E1565" s="8"/>
      <c r="F1565" s="8"/>
      <c r="G1565" s="8"/>
      <c r="H1565" s="8"/>
      <c r="I1565" s="9"/>
      <c r="J1565" s="9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7"/>
      <c r="B1566" s="8"/>
      <c r="C1566" s="8"/>
      <c r="D1566" s="8"/>
      <c r="E1566" s="8"/>
      <c r="F1566" s="8"/>
      <c r="G1566" s="8"/>
      <c r="H1566" s="8"/>
      <c r="I1566" s="9"/>
      <c r="J1566" s="9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7"/>
      <c r="B1567" s="8"/>
      <c r="C1567" s="8"/>
      <c r="D1567" s="8"/>
      <c r="E1567" s="8"/>
      <c r="F1567" s="8"/>
      <c r="G1567" s="8"/>
      <c r="H1567" s="8"/>
      <c r="I1567" s="9"/>
      <c r="J1567" s="9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7"/>
      <c r="B1568" s="8"/>
      <c r="C1568" s="8"/>
      <c r="D1568" s="8"/>
      <c r="E1568" s="8"/>
      <c r="F1568" s="8"/>
      <c r="G1568" s="8"/>
      <c r="H1568" s="8"/>
      <c r="I1568" s="9"/>
      <c r="J1568" s="9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7"/>
      <c r="B1569" s="8"/>
      <c r="C1569" s="8"/>
      <c r="D1569" s="8"/>
      <c r="E1569" s="8"/>
      <c r="F1569" s="8"/>
      <c r="G1569" s="8"/>
      <c r="H1569" s="8"/>
      <c r="I1569" s="9"/>
      <c r="J1569" s="9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7"/>
      <c r="B1570" s="8"/>
      <c r="C1570" s="8"/>
      <c r="D1570" s="8"/>
      <c r="E1570" s="8"/>
      <c r="F1570" s="8"/>
      <c r="G1570" s="8"/>
      <c r="H1570" s="8"/>
      <c r="I1570" s="9"/>
      <c r="J1570" s="9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7"/>
      <c r="B1571" s="8"/>
      <c r="C1571" s="8"/>
      <c r="D1571" s="8"/>
      <c r="E1571" s="8"/>
      <c r="F1571" s="8"/>
      <c r="G1571" s="8"/>
      <c r="H1571" s="8"/>
      <c r="I1571" s="9"/>
      <c r="J1571" s="9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7"/>
      <c r="B1572" s="8"/>
      <c r="C1572" s="8"/>
      <c r="D1572" s="8"/>
      <c r="E1572" s="8"/>
      <c r="F1572" s="8"/>
      <c r="G1572" s="8"/>
      <c r="H1572" s="8"/>
      <c r="I1572" s="9"/>
      <c r="J1572" s="9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7"/>
      <c r="B1573" s="8"/>
      <c r="C1573" s="8"/>
      <c r="D1573" s="8"/>
      <c r="E1573" s="8"/>
      <c r="F1573" s="8"/>
      <c r="G1573" s="8"/>
      <c r="H1573" s="8"/>
      <c r="I1573" s="9"/>
      <c r="J1573" s="9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7"/>
      <c r="B1574" s="8"/>
      <c r="C1574" s="8"/>
      <c r="D1574" s="8"/>
      <c r="E1574" s="8"/>
      <c r="F1574" s="8"/>
      <c r="G1574" s="8"/>
      <c r="H1574" s="8"/>
      <c r="I1574" s="9"/>
      <c r="J1574" s="9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7"/>
      <c r="B1575" s="8"/>
      <c r="C1575" s="8"/>
      <c r="D1575" s="8"/>
      <c r="E1575" s="8"/>
      <c r="F1575" s="8"/>
      <c r="G1575" s="8"/>
      <c r="H1575" s="8"/>
      <c r="I1575" s="9"/>
      <c r="J1575" s="9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7"/>
      <c r="B1576" s="8"/>
      <c r="C1576" s="8"/>
      <c r="D1576" s="8"/>
      <c r="E1576" s="8"/>
      <c r="F1576" s="8"/>
      <c r="G1576" s="8"/>
      <c r="H1576" s="8"/>
      <c r="I1576" s="9"/>
      <c r="J1576" s="9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7"/>
      <c r="B1577" s="8"/>
      <c r="C1577" s="8"/>
      <c r="D1577" s="8"/>
      <c r="E1577" s="8"/>
      <c r="F1577" s="8"/>
      <c r="G1577" s="8"/>
      <c r="H1577" s="8"/>
      <c r="I1577" s="9"/>
      <c r="J1577" s="9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7"/>
      <c r="B1578" s="8"/>
      <c r="C1578" s="8"/>
      <c r="D1578" s="8"/>
      <c r="E1578" s="8"/>
      <c r="F1578" s="8"/>
      <c r="G1578" s="8"/>
      <c r="H1578" s="8"/>
      <c r="I1578" s="9"/>
      <c r="J1578" s="9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7"/>
      <c r="B1579" s="8"/>
      <c r="C1579" s="8"/>
      <c r="D1579" s="8"/>
      <c r="E1579" s="8"/>
      <c r="F1579" s="8"/>
      <c r="G1579" s="8"/>
      <c r="H1579" s="8"/>
      <c r="I1579" s="9"/>
      <c r="J1579" s="9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7"/>
      <c r="B1580" s="8"/>
      <c r="C1580" s="8"/>
      <c r="D1580" s="8"/>
      <c r="E1580" s="8"/>
      <c r="F1580" s="8"/>
      <c r="G1580" s="8"/>
      <c r="H1580" s="8"/>
      <c r="I1580" s="9"/>
      <c r="J1580" s="9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7"/>
      <c r="B1581" s="8"/>
      <c r="C1581" s="8"/>
      <c r="D1581" s="8"/>
      <c r="E1581" s="8"/>
      <c r="F1581" s="8"/>
      <c r="G1581" s="8"/>
      <c r="H1581" s="8"/>
      <c r="I1581" s="9"/>
      <c r="J1581" s="9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7"/>
      <c r="B1582" s="8"/>
      <c r="C1582" s="8"/>
      <c r="D1582" s="8"/>
      <c r="E1582" s="8"/>
      <c r="F1582" s="8"/>
      <c r="G1582" s="8"/>
      <c r="H1582" s="8"/>
      <c r="I1582" s="9"/>
      <c r="J1582" s="9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7"/>
      <c r="B1583" s="8"/>
      <c r="C1583" s="8"/>
      <c r="D1583" s="8"/>
      <c r="E1583" s="8"/>
      <c r="F1583" s="8"/>
      <c r="G1583" s="8"/>
      <c r="H1583" s="8"/>
      <c r="I1583" s="9"/>
      <c r="J1583" s="9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7"/>
      <c r="B1584" s="8"/>
      <c r="C1584" s="8"/>
      <c r="D1584" s="8"/>
      <c r="E1584" s="8"/>
      <c r="F1584" s="8"/>
      <c r="G1584" s="8"/>
      <c r="H1584" s="8"/>
      <c r="I1584" s="9"/>
      <c r="J1584" s="9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7"/>
      <c r="B1585" s="8"/>
      <c r="C1585" s="8"/>
      <c r="D1585" s="8"/>
      <c r="E1585" s="8"/>
      <c r="F1585" s="8"/>
      <c r="G1585" s="8"/>
      <c r="H1585" s="8"/>
      <c r="I1585" s="9"/>
      <c r="J1585" s="9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7"/>
      <c r="B1586" s="8"/>
      <c r="C1586" s="8"/>
      <c r="D1586" s="8"/>
      <c r="E1586" s="8"/>
      <c r="F1586" s="8"/>
      <c r="G1586" s="8"/>
      <c r="H1586" s="8"/>
      <c r="I1586" s="9"/>
      <c r="J1586" s="9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7"/>
      <c r="B1587" s="8"/>
      <c r="C1587" s="8"/>
      <c r="D1587" s="8"/>
      <c r="E1587" s="8"/>
      <c r="F1587" s="8"/>
      <c r="G1587" s="8"/>
      <c r="H1587" s="8"/>
      <c r="I1587" s="9"/>
      <c r="J1587" s="9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7"/>
      <c r="B1588" s="8"/>
      <c r="C1588" s="8"/>
      <c r="D1588" s="8"/>
      <c r="E1588" s="8"/>
      <c r="F1588" s="8"/>
      <c r="G1588" s="8"/>
      <c r="H1588" s="8"/>
      <c r="I1588" s="9"/>
      <c r="J1588" s="9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7"/>
      <c r="B1589" s="8"/>
      <c r="C1589" s="8"/>
      <c r="D1589" s="8"/>
      <c r="E1589" s="8"/>
      <c r="F1589" s="8"/>
      <c r="G1589" s="8"/>
      <c r="H1589" s="8"/>
      <c r="I1589" s="9"/>
      <c r="J1589" s="9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7"/>
      <c r="B1590" s="8"/>
      <c r="C1590" s="8"/>
      <c r="D1590" s="8"/>
      <c r="E1590" s="8"/>
      <c r="F1590" s="8"/>
      <c r="G1590" s="8"/>
      <c r="H1590" s="8"/>
      <c r="I1590" s="9"/>
      <c r="J1590" s="9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7"/>
      <c r="B1591" s="8"/>
      <c r="C1591" s="8"/>
      <c r="D1591" s="8"/>
      <c r="E1591" s="8"/>
      <c r="F1591" s="8"/>
      <c r="G1591" s="8"/>
      <c r="H1591" s="8"/>
      <c r="I1591" s="9"/>
      <c r="J1591" s="9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7"/>
      <c r="B1592" s="8"/>
      <c r="C1592" s="8"/>
      <c r="D1592" s="8"/>
      <c r="E1592" s="8"/>
      <c r="F1592" s="8"/>
      <c r="G1592" s="8"/>
      <c r="H1592" s="8"/>
      <c r="I1592" s="9"/>
      <c r="J1592" s="9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7"/>
      <c r="B1593" s="8"/>
      <c r="C1593" s="8"/>
      <c r="D1593" s="8"/>
      <c r="E1593" s="8"/>
      <c r="F1593" s="8"/>
      <c r="G1593" s="8"/>
      <c r="H1593" s="8"/>
      <c r="I1593" s="9"/>
      <c r="J1593" s="9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7"/>
      <c r="B1594" s="8"/>
      <c r="C1594" s="8"/>
      <c r="D1594" s="8"/>
      <c r="E1594" s="8"/>
      <c r="F1594" s="8"/>
      <c r="G1594" s="8"/>
      <c r="H1594" s="8"/>
      <c r="I1594" s="9"/>
      <c r="J1594" s="9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7"/>
      <c r="B1595" s="8"/>
      <c r="C1595" s="8"/>
      <c r="D1595" s="8"/>
      <c r="E1595" s="8"/>
      <c r="F1595" s="8"/>
      <c r="G1595" s="8"/>
      <c r="H1595" s="8"/>
      <c r="I1595" s="9"/>
      <c r="J1595" s="9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7"/>
      <c r="B1596" s="8"/>
      <c r="C1596" s="8"/>
      <c r="D1596" s="8"/>
      <c r="E1596" s="8"/>
      <c r="F1596" s="8"/>
      <c r="G1596" s="8"/>
      <c r="H1596" s="8"/>
      <c r="I1596" s="9"/>
      <c r="J1596" s="9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7"/>
      <c r="B1597" s="8"/>
      <c r="C1597" s="8"/>
      <c r="D1597" s="8"/>
      <c r="E1597" s="8"/>
      <c r="F1597" s="8"/>
      <c r="G1597" s="8"/>
      <c r="H1597" s="8"/>
      <c r="I1597" s="9"/>
      <c r="J1597" s="9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7"/>
      <c r="B1598" s="8"/>
      <c r="C1598" s="8"/>
      <c r="D1598" s="8"/>
      <c r="E1598" s="8"/>
      <c r="F1598" s="8"/>
      <c r="G1598" s="8"/>
      <c r="H1598" s="8"/>
      <c r="I1598" s="9"/>
      <c r="J1598" s="9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7"/>
      <c r="B1599" s="8"/>
      <c r="C1599" s="8"/>
      <c r="D1599" s="8"/>
      <c r="E1599" s="8"/>
      <c r="F1599" s="8"/>
      <c r="G1599" s="8"/>
      <c r="H1599" s="8"/>
      <c r="I1599" s="9"/>
      <c r="J1599" s="9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7"/>
      <c r="B1600" s="8"/>
      <c r="C1600" s="8"/>
      <c r="D1600" s="8"/>
      <c r="E1600" s="8"/>
      <c r="F1600" s="8"/>
      <c r="G1600" s="8"/>
      <c r="H1600" s="8"/>
      <c r="I1600" s="9"/>
      <c r="J1600" s="9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7"/>
      <c r="B1601" s="8"/>
      <c r="C1601" s="8"/>
      <c r="D1601" s="8"/>
      <c r="E1601" s="8"/>
      <c r="F1601" s="8"/>
      <c r="G1601" s="8"/>
      <c r="H1601" s="8"/>
      <c r="I1601" s="9"/>
      <c r="J1601" s="9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7"/>
      <c r="B1602" s="8"/>
      <c r="C1602" s="8"/>
      <c r="D1602" s="8"/>
      <c r="E1602" s="8"/>
      <c r="F1602" s="8"/>
      <c r="G1602" s="8"/>
      <c r="H1602" s="8"/>
      <c r="I1602" s="9"/>
      <c r="J1602" s="9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7"/>
      <c r="B1603" s="8"/>
      <c r="C1603" s="8"/>
      <c r="D1603" s="8"/>
      <c r="E1603" s="8"/>
      <c r="F1603" s="8"/>
      <c r="G1603" s="8"/>
      <c r="H1603" s="8"/>
      <c r="I1603" s="9"/>
      <c r="J1603" s="9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7"/>
      <c r="B1604" s="8"/>
      <c r="C1604" s="8"/>
      <c r="D1604" s="8"/>
      <c r="E1604" s="8"/>
      <c r="F1604" s="8"/>
      <c r="G1604" s="8"/>
      <c r="H1604" s="8"/>
      <c r="I1604" s="9"/>
      <c r="J1604" s="9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7"/>
      <c r="B1605" s="8"/>
      <c r="C1605" s="8"/>
      <c r="D1605" s="8"/>
      <c r="E1605" s="8"/>
      <c r="F1605" s="8"/>
      <c r="G1605" s="8"/>
      <c r="H1605" s="8"/>
      <c r="I1605" s="9"/>
      <c r="J1605" s="9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7"/>
      <c r="B1606" s="8"/>
      <c r="C1606" s="8"/>
      <c r="D1606" s="8"/>
      <c r="E1606" s="8"/>
      <c r="F1606" s="8"/>
      <c r="G1606" s="8"/>
      <c r="H1606" s="8"/>
      <c r="I1606" s="9"/>
      <c r="J1606" s="9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7"/>
      <c r="B1607" s="8"/>
      <c r="C1607" s="8"/>
      <c r="D1607" s="8"/>
      <c r="E1607" s="8"/>
      <c r="F1607" s="8"/>
      <c r="G1607" s="8"/>
      <c r="H1607" s="8"/>
      <c r="I1607" s="9"/>
      <c r="J1607" s="9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7"/>
      <c r="B1608" s="8"/>
      <c r="C1608" s="8"/>
      <c r="D1608" s="8"/>
      <c r="E1608" s="8"/>
      <c r="F1608" s="8"/>
      <c r="G1608" s="8"/>
      <c r="H1608" s="8"/>
      <c r="I1608" s="9"/>
      <c r="J1608" s="9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7"/>
      <c r="B1609" s="8"/>
      <c r="C1609" s="8"/>
      <c r="D1609" s="8"/>
      <c r="E1609" s="8"/>
      <c r="F1609" s="8"/>
      <c r="G1609" s="8"/>
      <c r="H1609" s="8"/>
      <c r="I1609" s="9"/>
      <c r="J1609" s="9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7"/>
      <c r="B1610" s="8"/>
      <c r="C1610" s="8"/>
      <c r="D1610" s="8"/>
      <c r="E1610" s="8"/>
      <c r="F1610" s="8"/>
      <c r="G1610" s="8"/>
      <c r="H1610" s="8"/>
      <c r="I1610" s="9"/>
      <c r="J1610" s="9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7"/>
      <c r="B1611" s="8"/>
      <c r="C1611" s="8"/>
      <c r="D1611" s="8"/>
      <c r="E1611" s="8"/>
      <c r="F1611" s="8"/>
      <c r="G1611" s="8"/>
      <c r="H1611" s="8"/>
      <c r="I1611" s="9"/>
      <c r="J1611" s="9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7"/>
      <c r="B1612" s="8"/>
      <c r="C1612" s="8"/>
      <c r="D1612" s="8"/>
      <c r="E1612" s="8"/>
      <c r="F1612" s="8"/>
      <c r="G1612" s="8"/>
      <c r="H1612" s="8"/>
      <c r="I1612" s="9"/>
      <c r="J1612" s="9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7"/>
      <c r="B1613" s="8"/>
      <c r="C1613" s="8"/>
      <c r="D1613" s="8"/>
      <c r="E1613" s="8"/>
      <c r="F1613" s="8"/>
      <c r="G1613" s="8"/>
      <c r="H1613" s="8"/>
      <c r="I1613" s="9"/>
      <c r="J1613" s="9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7"/>
      <c r="B1614" s="8"/>
      <c r="C1614" s="8"/>
      <c r="D1614" s="8"/>
      <c r="E1614" s="8"/>
      <c r="F1614" s="8"/>
      <c r="G1614" s="8"/>
      <c r="H1614" s="8"/>
      <c r="I1614" s="9"/>
      <c r="J1614" s="9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7"/>
      <c r="B1615" s="8"/>
      <c r="C1615" s="8"/>
      <c r="D1615" s="8"/>
      <c r="E1615" s="8"/>
      <c r="F1615" s="8"/>
      <c r="G1615" s="8"/>
      <c r="H1615" s="8"/>
      <c r="I1615" s="9"/>
      <c r="J1615" s="9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7"/>
      <c r="B1616" s="8"/>
      <c r="C1616" s="8"/>
      <c r="D1616" s="8"/>
      <c r="E1616" s="8"/>
      <c r="F1616" s="8"/>
      <c r="G1616" s="8"/>
      <c r="H1616" s="8"/>
      <c r="I1616" s="9"/>
      <c r="J1616" s="9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7"/>
      <c r="B1617" s="8"/>
      <c r="C1617" s="8"/>
      <c r="D1617" s="8"/>
      <c r="E1617" s="8"/>
      <c r="F1617" s="8"/>
      <c r="G1617" s="8"/>
      <c r="H1617" s="8"/>
      <c r="I1617" s="9"/>
      <c r="J1617" s="9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7"/>
      <c r="B1618" s="8"/>
      <c r="C1618" s="8"/>
      <c r="D1618" s="8"/>
      <c r="E1618" s="8"/>
      <c r="F1618" s="8"/>
      <c r="G1618" s="8"/>
      <c r="H1618" s="8"/>
      <c r="I1618" s="9"/>
      <c r="J1618" s="9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7"/>
      <c r="B1619" s="8"/>
      <c r="C1619" s="8"/>
      <c r="D1619" s="8"/>
      <c r="E1619" s="8"/>
      <c r="F1619" s="8"/>
      <c r="G1619" s="8"/>
      <c r="H1619" s="8"/>
      <c r="I1619" s="9"/>
      <c r="J1619" s="9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7"/>
      <c r="B1620" s="8"/>
      <c r="C1620" s="8"/>
      <c r="D1620" s="8"/>
      <c r="E1620" s="8"/>
      <c r="F1620" s="8"/>
      <c r="G1620" s="8"/>
      <c r="H1620" s="8"/>
      <c r="I1620" s="9"/>
      <c r="J1620" s="9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7"/>
      <c r="B1621" s="8"/>
      <c r="C1621" s="8"/>
      <c r="D1621" s="8"/>
      <c r="E1621" s="8"/>
      <c r="F1621" s="8"/>
      <c r="G1621" s="8"/>
      <c r="H1621" s="8"/>
      <c r="I1621" s="9"/>
      <c r="J1621" s="9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7"/>
      <c r="B1622" s="8"/>
      <c r="C1622" s="8"/>
      <c r="D1622" s="8"/>
      <c r="E1622" s="8"/>
      <c r="F1622" s="8"/>
      <c r="G1622" s="8"/>
      <c r="H1622" s="8"/>
      <c r="I1622" s="9"/>
      <c r="J1622" s="9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7"/>
      <c r="B1623" s="8"/>
      <c r="C1623" s="8"/>
      <c r="D1623" s="8"/>
      <c r="E1623" s="8"/>
      <c r="F1623" s="8"/>
      <c r="G1623" s="8"/>
      <c r="H1623" s="8"/>
      <c r="I1623" s="9"/>
      <c r="J1623" s="9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7"/>
      <c r="B1624" s="8"/>
      <c r="C1624" s="8"/>
      <c r="D1624" s="8"/>
      <c r="E1624" s="8"/>
      <c r="F1624" s="8"/>
      <c r="G1624" s="8"/>
      <c r="H1624" s="8"/>
      <c r="I1624" s="9"/>
      <c r="J1624" s="9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7"/>
      <c r="B1625" s="8"/>
      <c r="C1625" s="8"/>
      <c r="D1625" s="8"/>
      <c r="E1625" s="8"/>
      <c r="F1625" s="8"/>
      <c r="G1625" s="8"/>
      <c r="H1625" s="8"/>
      <c r="I1625" s="9"/>
      <c r="J1625" s="9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7"/>
      <c r="B1626" s="8"/>
      <c r="C1626" s="8"/>
      <c r="D1626" s="8"/>
      <c r="E1626" s="8"/>
      <c r="F1626" s="8"/>
      <c r="G1626" s="8"/>
      <c r="H1626" s="8"/>
      <c r="I1626" s="9"/>
      <c r="J1626" s="9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7"/>
      <c r="B1627" s="8"/>
      <c r="C1627" s="8"/>
      <c r="D1627" s="8"/>
      <c r="E1627" s="8"/>
      <c r="F1627" s="8"/>
      <c r="G1627" s="8"/>
      <c r="H1627" s="8"/>
      <c r="I1627" s="9"/>
      <c r="J1627" s="9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7"/>
      <c r="B1628" s="8"/>
      <c r="C1628" s="8"/>
      <c r="D1628" s="8"/>
      <c r="E1628" s="8"/>
      <c r="F1628" s="8"/>
      <c r="G1628" s="8"/>
      <c r="H1628" s="8"/>
      <c r="I1628" s="9"/>
      <c r="J1628" s="9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7"/>
      <c r="B1629" s="8"/>
      <c r="C1629" s="8"/>
      <c r="D1629" s="8"/>
      <c r="E1629" s="8"/>
      <c r="F1629" s="8"/>
      <c r="G1629" s="8"/>
      <c r="H1629" s="8"/>
      <c r="I1629" s="9"/>
      <c r="J1629" s="9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7"/>
      <c r="B1630" s="8"/>
      <c r="C1630" s="8"/>
      <c r="D1630" s="8"/>
      <c r="E1630" s="8"/>
      <c r="F1630" s="8"/>
      <c r="G1630" s="8"/>
      <c r="H1630" s="8"/>
      <c r="I1630" s="9"/>
      <c r="J1630" s="9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7"/>
      <c r="B1631" s="8"/>
      <c r="C1631" s="8"/>
      <c r="D1631" s="8"/>
      <c r="E1631" s="8"/>
      <c r="F1631" s="8"/>
      <c r="G1631" s="8"/>
      <c r="H1631" s="8"/>
      <c r="I1631" s="9"/>
      <c r="J1631" s="9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7"/>
      <c r="B1632" s="8"/>
      <c r="C1632" s="8"/>
      <c r="D1632" s="8"/>
      <c r="E1632" s="8"/>
      <c r="F1632" s="8"/>
      <c r="G1632" s="8"/>
      <c r="H1632" s="8"/>
      <c r="I1632" s="9"/>
      <c r="J1632" s="9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7"/>
      <c r="B1633" s="8"/>
      <c r="C1633" s="8"/>
      <c r="D1633" s="8"/>
      <c r="E1633" s="8"/>
      <c r="F1633" s="8"/>
      <c r="G1633" s="8"/>
      <c r="H1633" s="8"/>
      <c r="I1633" s="9"/>
      <c r="J1633" s="9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7"/>
      <c r="B1634" s="8"/>
      <c r="C1634" s="8"/>
      <c r="D1634" s="8"/>
      <c r="E1634" s="8"/>
      <c r="F1634" s="8"/>
      <c r="G1634" s="8"/>
      <c r="H1634" s="8"/>
      <c r="I1634" s="9"/>
      <c r="J1634" s="9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7"/>
      <c r="B1635" s="8"/>
      <c r="C1635" s="8"/>
      <c r="D1635" s="8"/>
      <c r="E1635" s="8"/>
      <c r="F1635" s="8"/>
      <c r="G1635" s="8"/>
      <c r="H1635" s="8"/>
      <c r="I1635" s="9"/>
      <c r="J1635" s="9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7"/>
      <c r="B1636" s="8"/>
      <c r="C1636" s="8"/>
      <c r="D1636" s="8"/>
      <c r="E1636" s="8"/>
      <c r="F1636" s="8"/>
      <c r="G1636" s="8"/>
      <c r="H1636" s="8"/>
      <c r="I1636" s="9"/>
      <c r="J1636" s="9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7"/>
      <c r="B1637" s="8"/>
      <c r="C1637" s="8"/>
      <c r="D1637" s="8"/>
      <c r="E1637" s="8"/>
      <c r="F1637" s="8"/>
      <c r="G1637" s="8"/>
      <c r="H1637" s="8"/>
      <c r="I1637" s="9"/>
      <c r="J1637" s="9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7"/>
      <c r="B1638" s="8"/>
      <c r="C1638" s="8"/>
      <c r="D1638" s="8"/>
      <c r="E1638" s="8"/>
      <c r="F1638" s="8"/>
      <c r="G1638" s="8"/>
      <c r="H1638" s="8"/>
      <c r="I1638" s="9"/>
      <c r="J1638" s="9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7"/>
      <c r="B1639" s="8"/>
      <c r="C1639" s="8"/>
      <c r="D1639" s="8"/>
      <c r="E1639" s="8"/>
      <c r="F1639" s="8"/>
      <c r="G1639" s="8"/>
      <c r="H1639" s="8"/>
      <c r="I1639" s="9"/>
      <c r="J1639" s="9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7"/>
      <c r="B1640" s="8"/>
      <c r="C1640" s="8"/>
      <c r="D1640" s="8"/>
      <c r="E1640" s="8"/>
      <c r="F1640" s="8"/>
      <c r="G1640" s="8"/>
      <c r="H1640" s="8"/>
      <c r="I1640" s="9"/>
      <c r="J1640" s="9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7"/>
      <c r="B1641" s="8"/>
      <c r="C1641" s="8"/>
      <c r="D1641" s="8"/>
      <c r="E1641" s="8"/>
      <c r="F1641" s="8"/>
      <c r="G1641" s="8"/>
      <c r="H1641" s="8"/>
      <c r="I1641" s="9"/>
      <c r="J1641" s="9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7"/>
      <c r="B1642" s="8"/>
      <c r="C1642" s="8"/>
      <c r="D1642" s="8"/>
      <c r="E1642" s="8"/>
      <c r="F1642" s="8"/>
      <c r="G1642" s="8"/>
      <c r="H1642" s="8"/>
      <c r="I1642" s="9"/>
      <c r="J1642" s="9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7"/>
      <c r="B1643" s="8"/>
      <c r="C1643" s="8"/>
      <c r="D1643" s="8"/>
      <c r="E1643" s="8"/>
      <c r="F1643" s="8"/>
      <c r="G1643" s="8"/>
      <c r="H1643" s="8"/>
      <c r="I1643" s="9"/>
      <c r="J1643" s="9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7"/>
      <c r="B1644" s="8"/>
      <c r="C1644" s="8"/>
      <c r="D1644" s="8"/>
      <c r="E1644" s="8"/>
      <c r="F1644" s="8"/>
      <c r="G1644" s="8"/>
      <c r="H1644" s="8"/>
      <c r="I1644" s="9"/>
      <c r="J1644" s="9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7"/>
      <c r="B1645" s="8"/>
      <c r="C1645" s="8"/>
      <c r="D1645" s="8"/>
      <c r="E1645" s="8"/>
      <c r="F1645" s="8"/>
      <c r="G1645" s="8"/>
      <c r="H1645" s="8"/>
      <c r="I1645" s="9"/>
      <c r="J1645" s="9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7"/>
      <c r="B1646" s="8"/>
      <c r="C1646" s="8"/>
      <c r="D1646" s="8"/>
      <c r="E1646" s="8"/>
      <c r="F1646" s="8"/>
      <c r="G1646" s="8"/>
      <c r="H1646" s="8"/>
      <c r="I1646" s="9"/>
      <c r="J1646" s="9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7"/>
      <c r="B1647" s="8"/>
      <c r="C1647" s="8"/>
      <c r="D1647" s="8"/>
      <c r="E1647" s="8"/>
      <c r="F1647" s="8"/>
      <c r="G1647" s="8"/>
      <c r="H1647" s="8"/>
      <c r="I1647" s="9"/>
      <c r="J1647" s="9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7"/>
      <c r="B1648" s="8"/>
      <c r="C1648" s="8"/>
      <c r="D1648" s="8"/>
      <c r="E1648" s="8"/>
      <c r="F1648" s="8"/>
      <c r="G1648" s="8"/>
      <c r="H1648" s="8"/>
      <c r="I1648" s="9"/>
      <c r="J1648" s="9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7"/>
      <c r="B1649" s="8"/>
      <c r="C1649" s="8"/>
      <c r="D1649" s="8"/>
      <c r="E1649" s="8"/>
      <c r="F1649" s="8"/>
      <c r="G1649" s="8"/>
      <c r="H1649" s="8"/>
      <c r="I1649" s="9"/>
      <c r="J1649" s="9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7"/>
      <c r="B1650" s="8"/>
      <c r="C1650" s="8"/>
      <c r="D1650" s="8"/>
      <c r="E1650" s="8"/>
      <c r="F1650" s="8"/>
      <c r="G1650" s="8"/>
      <c r="H1650" s="8"/>
      <c r="I1650" s="9"/>
      <c r="J1650" s="9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7"/>
      <c r="B1651" s="8"/>
      <c r="C1651" s="8"/>
      <c r="D1651" s="8"/>
      <c r="E1651" s="8"/>
      <c r="F1651" s="8"/>
      <c r="G1651" s="8"/>
      <c r="H1651" s="8"/>
      <c r="I1651" s="9"/>
      <c r="J1651" s="9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7"/>
      <c r="B1652" s="8"/>
      <c r="C1652" s="8"/>
      <c r="D1652" s="8"/>
      <c r="E1652" s="8"/>
      <c r="F1652" s="8"/>
      <c r="G1652" s="8"/>
      <c r="H1652" s="8"/>
      <c r="I1652" s="9"/>
      <c r="J1652" s="9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7"/>
      <c r="B1653" s="8"/>
      <c r="C1653" s="8"/>
      <c r="D1653" s="8"/>
      <c r="E1653" s="8"/>
      <c r="F1653" s="8"/>
      <c r="G1653" s="8"/>
      <c r="H1653" s="8"/>
      <c r="I1653" s="9"/>
      <c r="J1653" s="9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7"/>
      <c r="B1654" s="8"/>
      <c r="C1654" s="8"/>
      <c r="D1654" s="8"/>
      <c r="E1654" s="8"/>
      <c r="F1654" s="8"/>
      <c r="G1654" s="8"/>
      <c r="H1654" s="8"/>
      <c r="I1654" s="9"/>
      <c r="J1654" s="9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7"/>
      <c r="B1655" s="8"/>
      <c r="C1655" s="8"/>
      <c r="D1655" s="8"/>
      <c r="E1655" s="8"/>
      <c r="F1655" s="8"/>
      <c r="G1655" s="8"/>
      <c r="H1655" s="8"/>
      <c r="I1655" s="9"/>
      <c r="J1655" s="9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7"/>
      <c r="B1656" s="8"/>
      <c r="C1656" s="8"/>
      <c r="D1656" s="8"/>
      <c r="E1656" s="8"/>
      <c r="F1656" s="8"/>
      <c r="G1656" s="8"/>
      <c r="H1656" s="8"/>
      <c r="I1656" s="9"/>
      <c r="J1656" s="9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7"/>
      <c r="B1657" s="8"/>
      <c r="C1657" s="8"/>
      <c r="D1657" s="8"/>
      <c r="E1657" s="8"/>
      <c r="F1657" s="8"/>
      <c r="G1657" s="8"/>
      <c r="H1657" s="8"/>
      <c r="I1657" s="9"/>
      <c r="J1657" s="9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7"/>
      <c r="B1658" s="8"/>
      <c r="C1658" s="8"/>
      <c r="D1658" s="8"/>
      <c r="E1658" s="8"/>
      <c r="F1658" s="8"/>
      <c r="G1658" s="8"/>
      <c r="H1658" s="8"/>
      <c r="I1658" s="9"/>
      <c r="J1658" s="9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7"/>
      <c r="B1659" s="8"/>
      <c r="C1659" s="8"/>
      <c r="D1659" s="8"/>
      <c r="E1659" s="8"/>
      <c r="F1659" s="8"/>
      <c r="G1659" s="8"/>
      <c r="H1659" s="8"/>
      <c r="I1659" s="9"/>
      <c r="J1659" s="9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7"/>
      <c r="B1660" s="8"/>
      <c r="C1660" s="8"/>
      <c r="D1660" s="8"/>
      <c r="E1660" s="8"/>
      <c r="F1660" s="8"/>
      <c r="G1660" s="8"/>
      <c r="H1660" s="8"/>
      <c r="I1660" s="9"/>
      <c r="J1660" s="9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7"/>
      <c r="B1661" s="8"/>
      <c r="C1661" s="8"/>
      <c r="D1661" s="8"/>
      <c r="E1661" s="8"/>
      <c r="F1661" s="8"/>
      <c r="G1661" s="8"/>
      <c r="H1661" s="8"/>
      <c r="I1661" s="9"/>
      <c r="J1661" s="9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7"/>
      <c r="B1662" s="8"/>
      <c r="C1662" s="8"/>
      <c r="D1662" s="8"/>
      <c r="E1662" s="8"/>
      <c r="F1662" s="8"/>
      <c r="G1662" s="8"/>
      <c r="H1662" s="8"/>
      <c r="I1662" s="9"/>
      <c r="J1662" s="9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7"/>
      <c r="B1663" s="8"/>
      <c r="C1663" s="8"/>
      <c r="D1663" s="8"/>
      <c r="E1663" s="8"/>
      <c r="F1663" s="8"/>
      <c r="G1663" s="8"/>
      <c r="H1663" s="8"/>
      <c r="I1663" s="9"/>
      <c r="J1663" s="9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7"/>
      <c r="B1664" s="8"/>
      <c r="C1664" s="8"/>
      <c r="D1664" s="8"/>
      <c r="E1664" s="8"/>
      <c r="F1664" s="8"/>
      <c r="G1664" s="8"/>
      <c r="H1664" s="8"/>
      <c r="I1664" s="9"/>
      <c r="J1664" s="9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7"/>
      <c r="B1665" s="8"/>
      <c r="C1665" s="8"/>
      <c r="D1665" s="8"/>
      <c r="E1665" s="8"/>
      <c r="F1665" s="8"/>
      <c r="G1665" s="8"/>
      <c r="H1665" s="8"/>
      <c r="I1665" s="9"/>
      <c r="J1665" s="9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7"/>
      <c r="B1666" s="8"/>
      <c r="C1666" s="8"/>
      <c r="D1666" s="8"/>
      <c r="E1666" s="8"/>
      <c r="F1666" s="8"/>
      <c r="G1666" s="8"/>
      <c r="H1666" s="8"/>
      <c r="I1666" s="9"/>
      <c r="J1666" s="9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7"/>
      <c r="B1667" s="8"/>
      <c r="C1667" s="8"/>
      <c r="D1667" s="8"/>
      <c r="E1667" s="8"/>
      <c r="F1667" s="8"/>
      <c r="G1667" s="8"/>
      <c r="H1667" s="8"/>
      <c r="I1667" s="9"/>
      <c r="J1667" s="9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7"/>
      <c r="B1668" s="8"/>
      <c r="C1668" s="8"/>
      <c r="D1668" s="8"/>
      <c r="E1668" s="8"/>
      <c r="F1668" s="8"/>
      <c r="G1668" s="8"/>
      <c r="H1668" s="8"/>
      <c r="I1668" s="9"/>
      <c r="J1668" s="9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7"/>
      <c r="B1669" s="8"/>
      <c r="C1669" s="8"/>
      <c r="D1669" s="8"/>
      <c r="E1669" s="8"/>
      <c r="F1669" s="8"/>
      <c r="G1669" s="8"/>
      <c r="H1669" s="8"/>
      <c r="I1669" s="9"/>
      <c r="J1669" s="9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7"/>
      <c r="B1670" s="8"/>
      <c r="C1670" s="8"/>
      <c r="D1670" s="8"/>
      <c r="E1670" s="8"/>
      <c r="F1670" s="8"/>
      <c r="G1670" s="8"/>
      <c r="H1670" s="8"/>
      <c r="I1670" s="9"/>
      <c r="J1670" s="9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7"/>
      <c r="B1671" s="8"/>
      <c r="C1671" s="8"/>
      <c r="D1671" s="8"/>
      <c r="E1671" s="8"/>
      <c r="F1671" s="8"/>
      <c r="G1671" s="8"/>
      <c r="H1671" s="8"/>
      <c r="I1671" s="9"/>
      <c r="J1671" s="9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7"/>
      <c r="B1672" s="8"/>
      <c r="C1672" s="8"/>
      <c r="D1672" s="8"/>
      <c r="E1672" s="8"/>
      <c r="F1672" s="8"/>
      <c r="G1672" s="8"/>
      <c r="H1672" s="8"/>
      <c r="I1672" s="9"/>
      <c r="J1672" s="9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7"/>
      <c r="B1673" s="8"/>
      <c r="C1673" s="8"/>
      <c r="D1673" s="8"/>
      <c r="E1673" s="8"/>
      <c r="F1673" s="8"/>
      <c r="G1673" s="8"/>
      <c r="H1673" s="8"/>
      <c r="I1673" s="9"/>
      <c r="J1673" s="9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7"/>
      <c r="B1674" s="8"/>
      <c r="C1674" s="8"/>
      <c r="D1674" s="8"/>
      <c r="E1674" s="8"/>
      <c r="F1674" s="8"/>
      <c r="G1674" s="8"/>
      <c r="H1674" s="8"/>
      <c r="I1674" s="9"/>
      <c r="J1674" s="9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7"/>
      <c r="B1675" s="8"/>
      <c r="C1675" s="8"/>
      <c r="D1675" s="8"/>
      <c r="E1675" s="8"/>
      <c r="F1675" s="8"/>
      <c r="G1675" s="8"/>
      <c r="H1675" s="8"/>
      <c r="I1675" s="9"/>
      <c r="J1675" s="9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7"/>
      <c r="B1676" s="8"/>
      <c r="C1676" s="8"/>
      <c r="D1676" s="8"/>
      <c r="E1676" s="8"/>
      <c r="F1676" s="8"/>
      <c r="G1676" s="8"/>
      <c r="H1676" s="8"/>
      <c r="I1676" s="9"/>
      <c r="J1676" s="9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7"/>
      <c r="B1677" s="8"/>
      <c r="C1677" s="8"/>
      <c r="D1677" s="8"/>
      <c r="E1677" s="8"/>
      <c r="F1677" s="8"/>
      <c r="G1677" s="8"/>
      <c r="H1677" s="8"/>
      <c r="I1677" s="9"/>
      <c r="J1677" s="9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7"/>
      <c r="B1678" s="8"/>
      <c r="C1678" s="8"/>
      <c r="D1678" s="8"/>
      <c r="E1678" s="8"/>
      <c r="F1678" s="8"/>
      <c r="G1678" s="8"/>
      <c r="H1678" s="8"/>
      <c r="I1678" s="9"/>
      <c r="J1678" s="9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7"/>
      <c r="B1679" s="8"/>
      <c r="C1679" s="8"/>
      <c r="D1679" s="8"/>
      <c r="E1679" s="8"/>
      <c r="F1679" s="8"/>
      <c r="G1679" s="8"/>
      <c r="H1679" s="8"/>
      <c r="I1679" s="9"/>
      <c r="J1679" s="9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7"/>
      <c r="B1680" s="8"/>
      <c r="C1680" s="8"/>
      <c r="D1680" s="8"/>
      <c r="E1680" s="8"/>
      <c r="F1680" s="8"/>
      <c r="G1680" s="8"/>
      <c r="H1680" s="8"/>
      <c r="I1680" s="9"/>
      <c r="J1680" s="9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7"/>
      <c r="B1681" s="8"/>
      <c r="C1681" s="8"/>
      <c r="D1681" s="8"/>
      <c r="E1681" s="8"/>
      <c r="F1681" s="8"/>
      <c r="G1681" s="8"/>
      <c r="H1681" s="8"/>
      <c r="I1681" s="9"/>
      <c r="J1681" s="9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7"/>
      <c r="B1682" s="8"/>
      <c r="C1682" s="8"/>
      <c r="D1682" s="8"/>
      <c r="E1682" s="8"/>
      <c r="F1682" s="8"/>
      <c r="G1682" s="8"/>
      <c r="H1682" s="8"/>
      <c r="I1682" s="9"/>
      <c r="J1682" s="9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7"/>
      <c r="B1683" s="8"/>
      <c r="C1683" s="8"/>
      <c r="D1683" s="8"/>
      <c r="E1683" s="8"/>
      <c r="F1683" s="8"/>
      <c r="G1683" s="8"/>
      <c r="H1683" s="8"/>
      <c r="I1683" s="9"/>
      <c r="J1683" s="9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7"/>
      <c r="B1684" s="8"/>
      <c r="C1684" s="8"/>
      <c r="D1684" s="8"/>
      <c r="E1684" s="8"/>
      <c r="F1684" s="8"/>
      <c r="G1684" s="8"/>
      <c r="H1684" s="8"/>
      <c r="I1684" s="9"/>
      <c r="J1684" s="9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7"/>
      <c r="B1685" s="8"/>
      <c r="C1685" s="8"/>
      <c r="D1685" s="8"/>
      <c r="E1685" s="8"/>
      <c r="F1685" s="8"/>
      <c r="G1685" s="8"/>
      <c r="H1685" s="8"/>
      <c r="I1685" s="9"/>
      <c r="J1685" s="9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7"/>
      <c r="B1686" s="8"/>
      <c r="C1686" s="8"/>
      <c r="D1686" s="8"/>
      <c r="E1686" s="8"/>
      <c r="F1686" s="8"/>
      <c r="G1686" s="8"/>
      <c r="H1686" s="8"/>
      <c r="I1686" s="9"/>
      <c r="J1686" s="9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7"/>
      <c r="B1687" s="8"/>
      <c r="C1687" s="8"/>
      <c r="D1687" s="8"/>
      <c r="E1687" s="8"/>
      <c r="F1687" s="8"/>
      <c r="G1687" s="8"/>
      <c r="H1687" s="8"/>
      <c r="I1687" s="9"/>
      <c r="J1687" s="9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7"/>
      <c r="B1688" s="8"/>
      <c r="C1688" s="8"/>
      <c r="D1688" s="8"/>
      <c r="E1688" s="8"/>
      <c r="F1688" s="8"/>
      <c r="G1688" s="8"/>
      <c r="H1688" s="8"/>
      <c r="I1688" s="9"/>
      <c r="J1688" s="9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7"/>
      <c r="B1689" s="8"/>
      <c r="C1689" s="8"/>
      <c r="D1689" s="8"/>
      <c r="E1689" s="8"/>
      <c r="F1689" s="8"/>
      <c r="G1689" s="8"/>
      <c r="H1689" s="8"/>
      <c r="I1689" s="9"/>
      <c r="J1689" s="9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7"/>
      <c r="B1690" s="8"/>
      <c r="C1690" s="8"/>
      <c r="D1690" s="8"/>
      <c r="E1690" s="8"/>
      <c r="F1690" s="8"/>
      <c r="G1690" s="8"/>
      <c r="H1690" s="8"/>
      <c r="I1690" s="9"/>
      <c r="J1690" s="9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7"/>
      <c r="B1691" s="8"/>
      <c r="C1691" s="8"/>
      <c r="D1691" s="8"/>
      <c r="E1691" s="8"/>
      <c r="F1691" s="8"/>
      <c r="G1691" s="8"/>
      <c r="H1691" s="8"/>
      <c r="I1691" s="9"/>
      <c r="J1691" s="9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7"/>
      <c r="B1692" s="8"/>
      <c r="C1692" s="8"/>
      <c r="D1692" s="8"/>
      <c r="E1692" s="8"/>
      <c r="F1692" s="8"/>
      <c r="G1692" s="8"/>
      <c r="H1692" s="8"/>
      <c r="I1692" s="9"/>
      <c r="J1692" s="9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7"/>
      <c r="B1693" s="8"/>
      <c r="C1693" s="8"/>
      <c r="D1693" s="8"/>
      <c r="E1693" s="8"/>
      <c r="F1693" s="8"/>
      <c r="G1693" s="8"/>
      <c r="H1693" s="8"/>
      <c r="I1693" s="9"/>
      <c r="J1693" s="9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7"/>
      <c r="B1694" s="8"/>
      <c r="C1694" s="8"/>
      <c r="D1694" s="8"/>
      <c r="E1694" s="8"/>
      <c r="F1694" s="8"/>
      <c r="G1694" s="8"/>
      <c r="H1694" s="8"/>
      <c r="I1694" s="9"/>
      <c r="J1694" s="9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7"/>
      <c r="B1695" s="8"/>
      <c r="C1695" s="8"/>
      <c r="D1695" s="8"/>
      <c r="E1695" s="8"/>
      <c r="F1695" s="8"/>
      <c r="G1695" s="8"/>
      <c r="H1695" s="8"/>
      <c r="I1695" s="9"/>
      <c r="J1695" s="9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7"/>
      <c r="B1696" s="8"/>
      <c r="C1696" s="8"/>
      <c r="D1696" s="8"/>
      <c r="E1696" s="8"/>
      <c r="F1696" s="8"/>
      <c r="G1696" s="8"/>
      <c r="H1696" s="8"/>
      <c r="I1696" s="9"/>
      <c r="J1696" s="9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7"/>
      <c r="B1697" s="8"/>
      <c r="C1697" s="8"/>
      <c r="D1697" s="8"/>
      <c r="E1697" s="8"/>
      <c r="F1697" s="8"/>
      <c r="G1697" s="8"/>
      <c r="H1697" s="8"/>
      <c r="I1697" s="9"/>
      <c r="J1697" s="9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7"/>
      <c r="B1698" s="8"/>
      <c r="C1698" s="8"/>
      <c r="D1698" s="8"/>
      <c r="E1698" s="8"/>
      <c r="F1698" s="8"/>
      <c r="G1698" s="8"/>
      <c r="H1698" s="8"/>
      <c r="I1698" s="9"/>
      <c r="J1698" s="9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7"/>
      <c r="B1699" s="8"/>
      <c r="C1699" s="8"/>
      <c r="D1699" s="8"/>
      <c r="E1699" s="8"/>
      <c r="F1699" s="8"/>
      <c r="G1699" s="8"/>
      <c r="H1699" s="8"/>
      <c r="I1699" s="9"/>
      <c r="J1699" s="9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7"/>
      <c r="B1700" s="8"/>
      <c r="C1700" s="8"/>
      <c r="D1700" s="8"/>
      <c r="E1700" s="8"/>
      <c r="F1700" s="8"/>
      <c r="G1700" s="8"/>
      <c r="H1700" s="8"/>
      <c r="I1700" s="9"/>
      <c r="J1700" s="9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7"/>
      <c r="B1701" s="8"/>
      <c r="C1701" s="8"/>
      <c r="D1701" s="8"/>
      <c r="E1701" s="8"/>
      <c r="F1701" s="8"/>
      <c r="G1701" s="8"/>
      <c r="H1701" s="8"/>
      <c r="I1701" s="9"/>
      <c r="J1701" s="9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7"/>
      <c r="B1702" s="8"/>
      <c r="C1702" s="8"/>
      <c r="D1702" s="8"/>
      <c r="E1702" s="8"/>
      <c r="F1702" s="8"/>
      <c r="G1702" s="8"/>
      <c r="H1702" s="8"/>
      <c r="I1702" s="9"/>
      <c r="J1702" s="9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7"/>
      <c r="B1703" s="8"/>
      <c r="C1703" s="8"/>
      <c r="D1703" s="8"/>
      <c r="E1703" s="8"/>
      <c r="F1703" s="8"/>
      <c r="G1703" s="8"/>
      <c r="H1703" s="8"/>
      <c r="I1703" s="9"/>
      <c r="J1703" s="9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7"/>
      <c r="B1704" s="8"/>
      <c r="C1704" s="8"/>
      <c r="D1704" s="8"/>
      <c r="E1704" s="8"/>
      <c r="F1704" s="8"/>
      <c r="G1704" s="8"/>
      <c r="H1704" s="8"/>
      <c r="I1704" s="9"/>
      <c r="J1704" s="9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7"/>
      <c r="B1705" s="8"/>
      <c r="C1705" s="8"/>
      <c r="D1705" s="8"/>
      <c r="E1705" s="8"/>
      <c r="F1705" s="8"/>
      <c r="G1705" s="8"/>
      <c r="H1705" s="8"/>
      <c r="I1705" s="9"/>
      <c r="J1705" s="9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7"/>
      <c r="B1706" s="8"/>
      <c r="C1706" s="8"/>
      <c r="D1706" s="8"/>
      <c r="E1706" s="8"/>
      <c r="F1706" s="8"/>
      <c r="G1706" s="8"/>
      <c r="H1706" s="8"/>
      <c r="I1706" s="9"/>
      <c r="J1706" s="9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7"/>
      <c r="B1707" s="8"/>
      <c r="C1707" s="8"/>
      <c r="D1707" s="8"/>
      <c r="E1707" s="8"/>
      <c r="F1707" s="8"/>
      <c r="G1707" s="8"/>
      <c r="H1707" s="8"/>
      <c r="I1707" s="9"/>
      <c r="J1707" s="9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7"/>
      <c r="B1708" s="8"/>
      <c r="C1708" s="8"/>
      <c r="D1708" s="8"/>
      <c r="E1708" s="8"/>
      <c r="F1708" s="8"/>
      <c r="G1708" s="8"/>
      <c r="H1708" s="8"/>
      <c r="I1708" s="9"/>
      <c r="J1708" s="9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7"/>
      <c r="B1709" s="8"/>
      <c r="C1709" s="8"/>
      <c r="D1709" s="8"/>
      <c r="E1709" s="8"/>
      <c r="F1709" s="8"/>
      <c r="G1709" s="8"/>
      <c r="H1709" s="8"/>
      <c r="I1709" s="9"/>
      <c r="J1709" s="9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7"/>
      <c r="B1710" s="8"/>
      <c r="C1710" s="8"/>
      <c r="D1710" s="8"/>
      <c r="E1710" s="8"/>
      <c r="F1710" s="8"/>
      <c r="G1710" s="8"/>
      <c r="H1710" s="8"/>
      <c r="I1710" s="9"/>
      <c r="J1710" s="9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7"/>
      <c r="B1711" s="8"/>
      <c r="C1711" s="8"/>
      <c r="D1711" s="8"/>
      <c r="E1711" s="8"/>
      <c r="F1711" s="8"/>
      <c r="G1711" s="8"/>
      <c r="H1711" s="8"/>
      <c r="I1711" s="9"/>
      <c r="J1711" s="9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7"/>
      <c r="B1712" s="8"/>
      <c r="C1712" s="8"/>
      <c r="D1712" s="8"/>
      <c r="E1712" s="8"/>
      <c r="F1712" s="8"/>
      <c r="G1712" s="8"/>
      <c r="H1712" s="8"/>
      <c r="I1712" s="9"/>
      <c r="J1712" s="9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7"/>
      <c r="B1713" s="8"/>
      <c r="C1713" s="8"/>
      <c r="D1713" s="8"/>
      <c r="E1713" s="8"/>
      <c r="F1713" s="8"/>
      <c r="G1713" s="8"/>
      <c r="H1713" s="8"/>
      <c r="I1713" s="9"/>
      <c r="J1713" s="9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7"/>
      <c r="B1714" s="8"/>
      <c r="C1714" s="8"/>
      <c r="D1714" s="8"/>
      <c r="E1714" s="8"/>
      <c r="F1714" s="8"/>
      <c r="G1714" s="8"/>
      <c r="H1714" s="8"/>
      <c r="I1714" s="9"/>
      <c r="J1714" s="9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7"/>
      <c r="B1715" s="8"/>
      <c r="C1715" s="8"/>
      <c r="D1715" s="8"/>
      <c r="E1715" s="8"/>
      <c r="F1715" s="8"/>
      <c r="G1715" s="8"/>
      <c r="H1715" s="8"/>
      <c r="I1715" s="9"/>
      <c r="J1715" s="9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7"/>
      <c r="B1716" s="8"/>
      <c r="C1716" s="8"/>
      <c r="D1716" s="8"/>
      <c r="E1716" s="8"/>
      <c r="F1716" s="8"/>
      <c r="G1716" s="8"/>
      <c r="H1716" s="8"/>
      <c r="I1716" s="9"/>
      <c r="J1716" s="9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7"/>
      <c r="B1717" s="8"/>
      <c r="C1717" s="8"/>
      <c r="D1717" s="8"/>
      <c r="E1717" s="8"/>
      <c r="F1717" s="8"/>
      <c r="G1717" s="8"/>
      <c r="H1717" s="8"/>
      <c r="I1717" s="9"/>
      <c r="J1717" s="9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7"/>
      <c r="B1718" s="8"/>
      <c r="C1718" s="8"/>
      <c r="D1718" s="8"/>
      <c r="E1718" s="8"/>
      <c r="F1718" s="8"/>
      <c r="G1718" s="8"/>
      <c r="H1718" s="8"/>
      <c r="I1718" s="9"/>
      <c r="J1718" s="9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7"/>
      <c r="B1719" s="8"/>
      <c r="C1719" s="8"/>
      <c r="D1719" s="8"/>
      <c r="E1719" s="8"/>
      <c r="F1719" s="8"/>
      <c r="G1719" s="8"/>
      <c r="H1719" s="8"/>
      <c r="I1719" s="9"/>
      <c r="J1719" s="9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7"/>
      <c r="B1720" s="8"/>
      <c r="C1720" s="8"/>
      <c r="D1720" s="8"/>
      <c r="E1720" s="8"/>
      <c r="F1720" s="8"/>
      <c r="G1720" s="8"/>
      <c r="H1720" s="8"/>
      <c r="I1720" s="9"/>
      <c r="J1720" s="9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7"/>
      <c r="B1721" s="8"/>
      <c r="C1721" s="8"/>
      <c r="D1721" s="8"/>
      <c r="E1721" s="8"/>
      <c r="F1721" s="8"/>
      <c r="G1721" s="8"/>
      <c r="H1721" s="8"/>
      <c r="I1721" s="9"/>
      <c r="J1721" s="9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7"/>
      <c r="B1722" s="8"/>
      <c r="C1722" s="8"/>
      <c r="D1722" s="8"/>
      <c r="E1722" s="8"/>
      <c r="F1722" s="8"/>
      <c r="G1722" s="8"/>
      <c r="H1722" s="8"/>
      <c r="I1722" s="9"/>
      <c r="J1722" s="9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7"/>
      <c r="B1723" s="8"/>
      <c r="C1723" s="8"/>
      <c r="D1723" s="8"/>
      <c r="E1723" s="8"/>
      <c r="F1723" s="8"/>
      <c r="G1723" s="8"/>
      <c r="H1723" s="8"/>
      <c r="I1723" s="9"/>
      <c r="J1723" s="9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7"/>
      <c r="B1724" s="8"/>
      <c r="C1724" s="8"/>
      <c r="D1724" s="8"/>
      <c r="E1724" s="8"/>
      <c r="F1724" s="8"/>
      <c r="G1724" s="8"/>
      <c r="H1724" s="8"/>
      <c r="I1724" s="9"/>
      <c r="J1724" s="9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7"/>
      <c r="B1725" s="8"/>
      <c r="C1725" s="8"/>
      <c r="D1725" s="8"/>
      <c r="E1725" s="8"/>
      <c r="F1725" s="8"/>
      <c r="G1725" s="8"/>
      <c r="H1725" s="8"/>
      <c r="I1725" s="9"/>
      <c r="J1725" s="9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7"/>
      <c r="B1726" s="8"/>
      <c r="C1726" s="8"/>
      <c r="D1726" s="8"/>
      <c r="E1726" s="8"/>
      <c r="F1726" s="8"/>
      <c r="G1726" s="8"/>
      <c r="H1726" s="8"/>
      <c r="I1726" s="9"/>
      <c r="J1726" s="9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7"/>
      <c r="B1727" s="8"/>
      <c r="C1727" s="8"/>
      <c r="D1727" s="8"/>
      <c r="E1727" s="8"/>
      <c r="F1727" s="8"/>
      <c r="G1727" s="8"/>
      <c r="H1727" s="8"/>
      <c r="I1727" s="9"/>
      <c r="J1727" s="9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7"/>
      <c r="B1728" s="8"/>
      <c r="C1728" s="8"/>
      <c r="D1728" s="8"/>
      <c r="E1728" s="8"/>
      <c r="F1728" s="8"/>
      <c r="G1728" s="8"/>
      <c r="H1728" s="8"/>
      <c r="I1728" s="9"/>
      <c r="J1728" s="9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7"/>
      <c r="B1729" s="8"/>
      <c r="C1729" s="8"/>
      <c r="D1729" s="8"/>
      <c r="E1729" s="8"/>
      <c r="F1729" s="8"/>
      <c r="G1729" s="8"/>
      <c r="H1729" s="8"/>
      <c r="I1729" s="9"/>
      <c r="J1729" s="9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7"/>
      <c r="B1730" s="8"/>
      <c r="C1730" s="8"/>
      <c r="D1730" s="8"/>
      <c r="E1730" s="8"/>
      <c r="F1730" s="8"/>
      <c r="G1730" s="8"/>
      <c r="H1730" s="8"/>
      <c r="I1730" s="9"/>
      <c r="J1730" s="9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7"/>
      <c r="B1731" s="8"/>
      <c r="C1731" s="8"/>
      <c r="D1731" s="8"/>
      <c r="E1731" s="8"/>
      <c r="F1731" s="8"/>
      <c r="G1731" s="8"/>
      <c r="H1731" s="8"/>
      <c r="I1731" s="9"/>
      <c r="J1731" s="9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7"/>
      <c r="B1732" s="8"/>
      <c r="C1732" s="8"/>
      <c r="D1732" s="8"/>
      <c r="E1732" s="8"/>
      <c r="F1732" s="8"/>
      <c r="G1732" s="8"/>
      <c r="H1732" s="8"/>
      <c r="I1732" s="9"/>
      <c r="J1732" s="9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7"/>
      <c r="B1733" s="8"/>
      <c r="C1733" s="8"/>
      <c r="D1733" s="8"/>
      <c r="E1733" s="8"/>
      <c r="F1733" s="8"/>
      <c r="G1733" s="8"/>
      <c r="H1733" s="8"/>
      <c r="I1733" s="9"/>
      <c r="J1733" s="9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7"/>
      <c r="B1734" s="8"/>
      <c r="C1734" s="8"/>
      <c r="D1734" s="8"/>
      <c r="E1734" s="8"/>
      <c r="F1734" s="8"/>
      <c r="G1734" s="8"/>
      <c r="H1734" s="8"/>
      <c r="I1734" s="9"/>
      <c r="J1734" s="9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7"/>
      <c r="B1735" s="8"/>
      <c r="C1735" s="8"/>
      <c r="D1735" s="8"/>
      <c r="E1735" s="8"/>
      <c r="F1735" s="8"/>
      <c r="G1735" s="8"/>
      <c r="H1735" s="8"/>
      <c r="I1735" s="9"/>
      <c r="J1735" s="9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7"/>
      <c r="B1736" s="8"/>
      <c r="C1736" s="8"/>
      <c r="D1736" s="8"/>
      <c r="E1736" s="8"/>
      <c r="F1736" s="8"/>
      <c r="G1736" s="8"/>
      <c r="H1736" s="8"/>
      <c r="I1736" s="9"/>
      <c r="J1736" s="9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7"/>
      <c r="B1737" s="8"/>
      <c r="C1737" s="8"/>
      <c r="D1737" s="8"/>
      <c r="E1737" s="8"/>
      <c r="F1737" s="8"/>
      <c r="G1737" s="8"/>
      <c r="H1737" s="8"/>
      <c r="I1737" s="9"/>
      <c r="J1737" s="9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7"/>
      <c r="B1738" s="8"/>
      <c r="C1738" s="8"/>
      <c r="D1738" s="8"/>
      <c r="E1738" s="8"/>
      <c r="F1738" s="8"/>
      <c r="G1738" s="8"/>
      <c r="H1738" s="8"/>
      <c r="I1738" s="9"/>
      <c r="J1738" s="9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7"/>
      <c r="B1739" s="8"/>
      <c r="C1739" s="8"/>
      <c r="D1739" s="8"/>
      <c r="E1739" s="8"/>
      <c r="F1739" s="8"/>
      <c r="G1739" s="8"/>
      <c r="H1739" s="8"/>
      <c r="I1739" s="9"/>
      <c r="J1739" s="9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7"/>
      <c r="B1740" s="8"/>
      <c r="C1740" s="8"/>
      <c r="D1740" s="8"/>
      <c r="E1740" s="8"/>
      <c r="F1740" s="8"/>
      <c r="G1740" s="8"/>
      <c r="H1740" s="8"/>
      <c r="I1740" s="9"/>
      <c r="J1740" s="9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7"/>
      <c r="B1741" s="8"/>
      <c r="C1741" s="8"/>
      <c r="D1741" s="8"/>
      <c r="E1741" s="8"/>
      <c r="F1741" s="8"/>
      <c r="G1741" s="8"/>
      <c r="H1741" s="8"/>
      <c r="I1741" s="9"/>
      <c r="J1741" s="9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7"/>
      <c r="B1742" s="8"/>
      <c r="C1742" s="8"/>
      <c r="D1742" s="8"/>
      <c r="E1742" s="8"/>
      <c r="F1742" s="8"/>
      <c r="G1742" s="8"/>
      <c r="H1742" s="8"/>
      <c r="I1742" s="9"/>
      <c r="J1742" s="9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7"/>
      <c r="B1743" s="8"/>
      <c r="C1743" s="8"/>
      <c r="D1743" s="8"/>
      <c r="E1743" s="8"/>
      <c r="F1743" s="8"/>
      <c r="G1743" s="8"/>
      <c r="H1743" s="8"/>
      <c r="I1743" s="9"/>
      <c r="J1743" s="9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7"/>
      <c r="B1744" s="8"/>
      <c r="C1744" s="8"/>
      <c r="D1744" s="8"/>
      <c r="E1744" s="8"/>
      <c r="F1744" s="8"/>
      <c r="G1744" s="8"/>
      <c r="H1744" s="8"/>
      <c r="I1744" s="9"/>
      <c r="J1744" s="9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7"/>
      <c r="B1745" s="8"/>
      <c r="C1745" s="8"/>
      <c r="D1745" s="8"/>
      <c r="E1745" s="8"/>
      <c r="F1745" s="8"/>
      <c r="G1745" s="8"/>
      <c r="H1745" s="8"/>
      <c r="I1745" s="9"/>
      <c r="J1745" s="9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7"/>
      <c r="B1746" s="8"/>
      <c r="C1746" s="8"/>
      <c r="D1746" s="8"/>
      <c r="E1746" s="8"/>
      <c r="F1746" s="8"/>
      <c r="G1746" s="8"/>
      <c r="H1746" s="8"/>
      <c r="I1746" s="9"/>
      <c r="J1746" s="9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7"/>
      <c r="B1747" s="8"/>
      <c r="C1747" s="8"/>
      <c r="D1747" s="8"/>
      <c r="E1747" s="8"/>
      <c r="F1747" s="8"/>
      <c r="G1747" s="8"/>
      <c r="H1747" s="8"/>
      <c r="I1747" s="9"/>
      <c r="J1747" s="9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7"/>
      <c r="B1748" s="8"/>
      <c r="C1748" s="8"/>
      <c r="D1748" s="8"/>
      <c r="E1748" s="8"/>
      <c r="F1748" s="8"/>
      <c r="G1748" s="8"/>
      <c r="H1748" s="8"/>
      <c r="I1748" s="9"/>
      <c r="J1748" s="9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7"/>
      <c r="B1749" s="8"/>
      <c r="C1749" s="8"/>
      <c r="D1749" s="8"/>
      <c r="E1749" s="8"/>
      <c r="F1749" s="8"/>
      <c r="G1749" s="8"/>
      <c r="H1749" s="8"/>
      <c r="I1749" s="9"/>
      <c r="J1749" s="9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7"/>
      <c r="B1750" s="8"/>
      <c r="C1750" s="8"/>
      <c r="D1750" s="8"/>
      <c r="E1750" s="8"/>
      <c r="F1750" s="8"/>
      <c r="G1750" s="8"/>
      <c r="H1750" s="8"/>
      <c r="I1750" s="9"/>
      <c r="J1750" s="9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7"/>
      <c r="B1751" s="8"/>
      <c r="C1751" s="8"/>
      <c r="D1751" s="8"/>
      <c r="E1751" s="8"/>
      <c r="F1751" s="8"/>
      <c r="G1751" s="8"/>
      <c r="H1751" s="8"/>
      <c r="I1751" s="9"/>
      <c r="J1751" s="9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7"/>
      <c r="B1752" s="8"/>
      <c r="C1752" s="8"/>
      <c r="D1752" s="8"/>
      <c r="E1752" s="8"/>
      <c r="F1752" s="8"/>
      <c r="G1752" s="8"/>
      <c r="H1752" s="8"/>
      <c r="I1752" s="9"/>
      <c r="J1752" s="9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7"/>
      <c r="B1753" s="8"/>
      <c r="C1753" s="8"/>
      <c r="D1753" s="8"/>
      <c r="E1753" s="8"/>
      <c r="F1753" s="8"/>
      <c r="G1753" s="8"/>
      <c r="H1753" s="8"/>
      <c r="I1753" s="9"/>
      <c r="J1753" s="9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7"/>
      <c r="B1754" s="8"/>
      <c r="C1754" s="8"/>
      <c r="D1754" s="8"/>
      <c r="E1754" s="8"/>
      <c r="F1754" s="8"/>
      <c r="G1754" s="8"/>
      <c r="H1754" s="8"/>
      <c r="I1754" s="9"/>
      <c r="J1754" s="9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7"/>
      <c r="B1755" s="8"/>
      <c r="C1755" s="8"/>
      <c r="D1755" s="8"/>
      <c r="E1755" s="8"/>
      <c r="F1755" s="8"/>
      <c r="G1755" s="8"/>
      <c r="H1755" s="8"/>
      <c r="I1755" s="9"/>
      <c r="J1755" s="9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7"/>
      <c r="B1756" s="8"/>
      <c r="C1756" s="8"/>
      <c r="D1756" s="8"/>
      <c r="E1756" s="8"/>
      <c r="F1756" s="8"/>
      <c r="G1756" s="8"/>
      <c r="H1756" s="8"/>
      <c r="I1756" s="9"/>
      <c r="J1756" s="9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7"/>
      <c r="B1757" s="8"/>
      <c r="C1757" s="8"/>
      <c r="D1757" s="8"/>
      <c r="E1757" s="8"/>
      <c r="F1757" s="8"/>
      <c r="G1757" s="8"/>
      <c r="H1757" s="8"/>
      <c r="I1757" s="9"/>
      <c r="J1757" s="9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7"/>
      <c r="B1758" s="8"/>
      <c r="C1758" s="8"/>
      <c r="D1758" s="8"/>
      <c r="E1758" s="8"/>
      <c r="F1758" s="8"/>
      <c r="G1758" s="8"/>
      <c r="H1758" s="8"/>
      <c r="I1758" s="9"/>
      <c r="J1758" s="9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7"/>
      <c r="B1759" s="8"/>
      <c r="C1759" s="8"/>
      <c r="D1759" s="8"/>
      <c r="E1759" s="8"/>
      <c r="F1759" s="8"/>
      <c r="G1759" s="8"/>
      <c r="H1759" s="8"/>
      <c r="I1759" s="9"/>
      <c r="J1759" s="9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7"/>
      <c r="B1760" s="8"/>
      <c r="C1760" s="8"/>
      <c r="D1760" s="8"/>
      <c r="E1760" s="8"/>
      <c r="F1760" s="8"/>
      <c r="G1760" s="8"/>
      <c r="H1760" s="8"/>
      <c r="I1760" s="9"/>
      <c r="J1760" s="9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7"/>
      <c r="B1761" s="8"/>
      <c r="C1761" s="8"/>
      <c r="D1761" s="8"/>
      <c r="E1761" s="8"/>
      <c r="F1761" s="8"/>
      <c r="G1761" s="8"/>
      <c r="H1761" s="8"/>
      <c r="I1761" s="9"/>
      <c r="J1761" s="9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7"/>
      <c r="B1762" s="8"/>
      <c r="C1762" s="8"/>
      <c r="D1762" s="8"/>
      <c r="E1762" s="8"/>
      <c r="F1762" s="8"/>
      <c r="G1762" s="8"/>
      <c r="H1762" s="8"/>
      <c r="I1762" s="9"/>
      <c r="J1762" s="9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7"/>
      <c r="B1763" s="8"/>
      <c r="C1763" s="8"/>
      <c r="D1763" s="8"/>
      <c r="E1763" s="8"/>
      <c r="F1763" s="8"/>
      <c r="G1763" s="8"/>
      <c r="H1763" s="8"/>
      <c r="I1763" s="9"/>
      <c r="J1763" s="9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7"/>
      <c r="B1764" s="8"/>
      <c r="C1764" s="8"/>
      <c r="D1764" s="8"/>
      <c r="E1764" s="8"/>
      <c r="F1764" s="8"/>
      <c r="G1764" s="8"/>
      <c r="H1764" s="8"/>
      <c r="I1764" s="9"/>
      <c r="J1764" s="9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7"/>
      <c r="B1765" s="8"/>
      <c r="C1765" s="8"/>
      <c r="D1765" s="8"/>
      <c r="E1765" s="8"/>
      <c r="F1765" s="8"/>
      <c r="G1765" s="8"/>
      <c r="H1765" s="8"/>
      <c r="I1765" s="9"/>
      <c r="J1765" s="9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7"/>
      <c r="B1766" s="8"/>
      <c r="C1766" s="8"/>
      <c r="D1766" s="8"/>
      <c r="E1766" s="8"/>
      <c r="F1766" s="8"/>
      <c r="G1766" s="8"/>
      <c r="H1766" s="8"/>
      <c r="I1766" s="9"/>
      <c r="J1766" s="9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7"/>
      <c r="B1767" s="8"/>
      <c r="C1767" s="8"/>
      <c r="D1767" s="8"/>
      <c r="E1767" s="8"/>
      <c r="F1767" s="8"/>
      <c r="G1767" s="8"/>
      <c r="H1767" s="8"/>
      <c r="I1767" s="9"/>
      <c r="J1767" s="9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7"/>
      <c r="B1768" s="8"/>
      <c r="C1768" s="8"/>
      <c r="D1768" s="8"/>
      <c r="E1768" s="8"/>
      <c r="F1768" s="8"/>
      <c r="G1768" s="8"/>
      <c r="H1768" s="8"/>
      <c r="I1768" s="9"/>
      <c r="J1768" s="9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7"/>
      <c r="B1769" s="8"/>
      <c r="C1769" s="8"/>
      <c r="D1769" s="8"/>
      <c r="E1769" s="8"/>
      <c r="F1769" s="8"/>
      <c r="G1769" s="8"/>
      <c r="H1769" s="8"/>
      <c r="I1769" s="9"/>
      <c r="J1769" s="9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7"/>
      <c r="B1770" s="8"/>
      <c r="C1770" s="8"/>
      <c r="D1770" s="8"/>
      <c r="E1770" s="8"/>
      <c r="F1770" s="8"/>
      <c r="G1770" s="8"/>
      <c r="H1770" s="8"/>
      <c r="I1770" s="9"/>
      <c r="J1770" s="9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7"/>
      <c r="B1771" s="8"/>
      <c r="C1771" s="8"/>
      <c r="D1771" s="8"/>
      <c r="E1771" s="8"/>
      <c r="F1771" s="8"/>
      <c r="G1771" s="8"/>
      <c r="H1771" s="8"/>
      <c r="I1771" s="9"/>
      <c r="J1771" s="9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7"/>
      <c r="B1772" s="8"/>
      <c r="C1772" s="8"/>
      <c r="D1772" s="8"/>
      <c r="E1772" s="8"/>
      <c r="F1772" s="8"/>
      <c r="G1772" s="8"/>
      <c r="H1772" s="8"/>
      <c r="I1772" s="9"/>
      <c r="J1772" s="9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7"/>
      <c r="B1773" s="8"/>
      <c r="C1773" s="8"/>
      <c r="D1773" s="8"/>
      <c r="E1773" s="8"/>
      <c r="F1773" s="8"/>
      <c r="G1773" s="8"/>
      <c r="H1773" s="8"/>
      <c r="I1773" s="9"/>
      <c r="J1773" s="9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7"/>
      <c r="B1774" s="8"/>
      <c r="C1774" s="8"/>
      <c r="D1774" s="8"/>
      <c r="E1774" s="8"/>
      <c r="F1774" s="8"/>
      <c r="G1774" s="8"/>
      <c r="H1774" s="8"/>
      <c r="I1774" s="9"/>
      <c r="J1774" s="9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7"/>
      <c r="B1775" s="8"/>
      <c r="C1775" s="8"/>
      <c r="D1775" s="8"/>
      <c r="E1775" s="8"/>
      <c r="F1775" s="8"/>
      <c r="G1775" s="8"/>
      <c r="H1775" s="8"/>
      <c r="I1775" s="9"/>
      <c r="J1775" s="9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7"/>
      <c r="B1776" s="8"/>
      <c r="C1776" s="8"/>
      <c r="D1776" s="8"/>
      <c r="E1776" s="8"/>
      <c r="F1776" s="8"/>
      <c r="G1776" s="8"/>
      <c r="H1776" s="8"/>
      <c r="I1776" s="9"/>
      <c r="J1776" s="9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7"/>
      <c r="B1777" s="8"/>
      <c r="C1777" s="8"/>
      <c r="D1777" s="8"/>
      <c r="E1777" s="8"/>
      <c r="F1777" s="8"/>
      <c r="G1777" s="8"/>
      <c r="H1777" s="8"/>
      <c r="I1777" s="9"/>
      <c r="J1777" s="9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7"/>
      <c r="B1778" s="8"/>
      <c r="C1778" s="8"/>
      <c r="D1778" s="8"/>
      <c r="E1778" s="8"/>
      <c r="F1778" s="8"/>
      <c r="G1778" s="8"/>
      <c r="H1778" s="8"/>
      <c r="I1778" s="9"/>
      <c r="J1778" s="9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7"/>
      <c r="B1779" s="8"/>
      <c r="C1779" s="8"/>
      <c r="D1779" s="8"/>
      <c r="E1779" s="8"/>
      <c r="F1779" s="8"/>
      <c r="G1779" s="8"/>
      <c r="H1779" s="8"/>
      <c r="I1779" s="9"/>
      <c r="J1779" s="9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7"/>
      <c r="B1780" s="8"/>
      <c r="C1780" s="8"/>
      <c r="D1780" s="8"/>
      <c r="E1780" s="8"/>
      <c r="F1780" s="8"/>
      <c r="G1780" s="8"/>
      <c r="H1780" s="8"/>
      <c r="I1780" s="9"/>
      <c r="J1780" s="9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7"/>
      <c r="B1781" s="8"/>
      <c r="C1781" s="8"/>
      <c r="D1781" s="8"/>
      <c r="E1781" s="8"/>
      <c r="F1781" s="8"/>
      <c r="G1781" s="8"/>
      <c r="H1781" s="8"/>
      <c r="I1781" s="9"/>
      <c r="J1781" s="9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7"/>
      <c r="B1782" s="8"/>
      <c r="C1782" s="8"/>
      <c r="D1782" s="8"/>
      <c r="E1782" s="8"/>
      <c r="F1782" s="8"/>
      <c r="G1782" s="8"/>
      <c r="H1782" s="8"/>
      <c r="I1782" s="9"/>
      <c r="J1782" s="9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7"/>
      <c r="B1783" s="8"/>
      <c r="C1783" s="8"/>
      <c r="D1783" s="8"/>
      <c r="E1783" s="8"/>
      <c r="F1783" s="8"/>
      <c r="G1783" s="8"/>
      <c r="H1783" s="8"/>
      <c r="I1783" s="9"/>
      <c r="J1783" s="9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7"/>
      <c r="B1784" s="8"/>
      <c r="C1784" s="8"/>
      <c r="D1784" s="8"/>
      <c r="E1784" s="8"/>
      <c r="F1784" s="8"/>
      <c r="G1784" s="8"/>
      <c r="H1784" s="8"/>
      <c r="I1784" s="9"/>
      <c r="J1784" s="9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7"/>
      <c r="B1785" s="8"/>
      <c r="C1785" s="8"/>
      <c r="D1785" s="8"/>
      <c r="E1785" s="8"/>
      <c r="F1785" s="8"/>
      <c r="G1785" s="8"/>
      <c r="H1785" s="8"/>
      <c r="I1785" s="9"/>
      <c r="J1785" s="9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7"/>
      <c r="B1786" s="8"/>
      <c r="C1786" s="8"/>
      <c r="D1786" s="8"/>
      <c r="E1786" s="8"/>
      <c r="F1786" s="8"/>
      <c r="G1786" s="8"/>
      <c r="H1786" s="8"/>
      <c r="I1786" s="9"/>
      <c r="J1786" s="9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7"/>
      <c r="B1787" s="8"/>
      <c r="C1787" s="8"/>
      <c r="D1787" s="8"/>
      <c r="E1787" s="8"/>
      <c r="F1787" s="8"/>
      <c r="G1787" s="8"/>
      <c r="H1787" s="8"/>
      <c r="I1787" s="9"/>
      <c r="J1787" s="9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7"/>
      <c r="B1788" s="8"/>
      <c r="C1788" s="8"/>
      <c r="D1788" s="8"/>
      <c r="E1788" s="8"/>
      <c r="F1788" s="8"/>
      <c r="G1788" s="8"/>
      <c r="H1788" s="8"/>
      <c r="I1788" s="9"/>
      <c r="J1788" s="9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7"/>
      <c r="B1789" s="8"/>
      <c r="C1789" s="8"/>
      <c r="D1789" s="8"/>
      <c r="E1789" s="8"/>
      <c r="F1789" s="8"/>
      <c r="G1789" s="8"/>
      <c r="H1789" s="8"/>
      <c r="I1789" s="9"/>
      <c r="J1789" s="9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7"/>
      <c r="B1790" s="8"/>
      <c r="C1790" s="8"/>
      <c r="D1790" s="8"/>
      <c r="E1790" s="8"/>
      <c r="F1790" s="8"/>
      <c r="G1790" s="8"/>
      <c r="H1790" s="8"/>
      <c r="I1790" s="9"/>
      <c r="J1790" s="9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7"/>
      <c r="B1791" s="8"/>
      <c r="C1791" s="8"/>
      <c r="D1791" s="8"/>
      <c r="E1791" s="8"/>
      <c r="F1791" s="8"/>
      <c r="G1791" s="8"/>
      <c r="H1791" s="8"/>
      <c r="I1791" s="9"/>
      <c r="J1791" s="9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7"/>
      <c r="B1792" s="8"/>
      <c r="C1792" s="8"/>
      <c r="D1792" s="8"/>
      <c r="E1792" s="8"/>
      <c r="F1792" s="8"/>
      <c r="G1792" s="8"/>
      <c r="H1792" s="8"/>
      <c r="I1792" s="9"/>
      <c r="J1792" s="9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7"/>
      <c r="B1793" s="8"/>
      <c r="C1793" s="8"/>
      <c r="D1793" s="8"/>
      <c r="E1793" s="8"/>
      <c r="F1793" s="8"/>
      <c r="G1793" s="8"/>
      <c r="H1793" s="8"/>
      <c r="I1793" s="9"/>
      <c r="J1793" s="9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7"/>
      <c r="B1794" s="8"/>
      <c r="C1794" s="8"/>
      <c r="D1794" s="8"/>
      <c r="E1794" s="8"/>
      <c r="F1794" s="8"/>
      <c r="G1794" s="8"/>
      <c r="H1794" s="8"/>
      <c r="I1794" s="9"/>
      <c r="J1794" s="9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7"/>
      <c r="B1795" s="8"/>
      <c r="C1795" s="8"/>
      <c r="D1795" s="8"/>
      <c r="E1795" s="8"/>
      <c r="F1795" s="8"/>
      <c r="G1795" s="8"/>
      <c r="H1795" s="8"/>
      <c r="I1795" s="9"/>
      <c r="J1795" s="9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7"/>
      <c r="B1796" s="8"/>
      <c r="C1796" s="8"/>
      <c r="D1796" s="8"/>
      <c r="E1796" s="8"/>
      <c r="F1796" s="8"/>
      <c r="G1796" s="8"/>
      <c r="H1796" s="8"/>
      <c r="I1796" s="9"/>
      <c r="J1796" s="9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7"/>
      <c r="B1797" s="8"/>
      <c r="C1797" s="8"/>
      <c r="D1797" s="8"/>
      <c r="E1797" s="8"/>
      <c r="F1797" s="8"/>
      <c r="G1797" s="8"/>
      <c r="H1797" s="8"/>
      <c r="I1797" s="9"/>
      <c r="J1797" s="9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7"/>
      <c r="B1798" s="8"/>
      <c r="C1798" s="8"/>
      <c r="D1798" s="8"/>
      <c r="E1798" s="8"/>
      <c r="F1798" s="8"/>
      <c r="G1798" s="8"/>
      <c r="H1798" s="8"/>
      <c r="I1798" s="9"/>
      <c r="J1798" s="9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7"/>
      <c r="B1799" s="8"/>
      <c r="C1799" s="8"/>
      <c r="D1799" s="8"/>
      <c r="E1799" s="8"/>
      <c r="F1799" s="8"/>
      <c r="G1799" s="8"/>
      <c r="H1799" s="8"/>
      <c r="I1799" s="9"/>
      <c r="J1799" s="9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7"/>
      <c r="B1800" s="8"/>
      <c r="C1800" s="8"/>
      <c r="D1800" s="8"/>
      <c r="E1800" s="8"/>
      <c r="F1800" s="8"/>
      <c r="G1800" s="8"/>
      <c r="H1800" s="8"/>
      <c r="I1800" s="9"/>
      <c r="J1800" s="9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7"/>
      <c r="B1801" s="8"/>
      <c r="C1801" s="8"/>
      <c r="D1801" s="8"/>
      <c r="E1801" s="8"/>
      <c r="F1801" s="8"/>
      <c r="G1801" s="8"/>
      <c r="H1801" s="8"/>
      <c r="I1801" s="9"/>
      <c r="J1801" s="9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7"/>
      <c r="B1802" s="8"/>
      <c r="C1802" s="8"/>
      <c r="D1802" s="8"/>
      <c r="E1802" s="8"/>
      <c r="F1802" s="8"/>
      <c r="G1802" s="8"/>
      <c r="H1802" s="8"/>
      <c r="I1802" s="9"/>
      <c r="J1802" s="9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7"/>
      <c r="B1803" s="8"/>
      <c r="C1803" s="8"/>
      <c r="D1803" s="8"/>
      <c r="E1803" s="8"/>
      <c r="F1803" s="8"/>
      <c r="G1803" s="8"/>
      <c r="H1803" s="8"/>
      <c r="I1803" s="9"/>
      <c r="J1803" s="9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7"/>
      <c r="B1804" s="8"/>
      <c r="C1804" s="8"/>
      <c r="D1804" s="8"/>
      <c r="E1804" s="8"/>
      <c r="F1804" s="8"/>
      <c r="G1804" s="8"/>
      <c r="H1804" s="8"/>
      <c r="I1804" s="9"/>
      <c r="J1804" s="9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7"/>
      <c r="B1805" s="8"/>
      <c r="C1805" s="8"/>
      <c r="D1805" s="8"/>
      <c r="E1805" s="8"/>
      <c r="F1805" s="8"/>
      <c r="G1805" s="8"/>
      <c r="H1805" s="8"/>
      <c r="I1805" s="9"/>
      <c r="J1805" s="9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7"/>
      <c r="B1806" s="8"/>
      <c r="C1806" s="8"/>
      <c r="D1806" s="8"/>
      <c r="E1806" s="8"/>
      <c r="F1806" s="8"/>
      <c r="G1806" s="8"/>
      <c r="H1806" s="8"/>
      <c r="I1806" s="9"/>
      <c r="J1806" s="9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7"/>
      <c r="B1807" s="8"/>
      <c r="C1807" s="8"/>
      <c r="D1807" s="8"/>
      <c r="E1807" s="8"/>
      <c r="F1807" s="8"/>
      <c r="G1807" s="8"/>
      <c r="H1807" s="8"/>
      <c r="I1807" s="9"/>
      <c r="J1807" s="9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7"/>
      <c r="B1808" s="8"/>
      <c r="C1808" s="8"/>
      <c r="D1808" s="8"/>
      <c r="E1808" s="8"/>
      <c r="F1808" s="8"/>
      <c r="G1808" s="8"/>
      <c r="H1808" s="8"/>
      <c r="I1808" s="9"/>
      <c r="J1808" s="9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7"/>
      <c r="B1809" s="8"/>
      <c r="C1809" s="8"/>
      <c r="D1809" s="8"/>
      <c r="E1809" s="8"/>
      <c r="F1809" s="8"/>
      <c r="G1809" s="8"/>
      <c r="H1809" s="8"/>
      <c r="I1809" s="9"/>
      <c r="J1809" s="9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7"/>
      <c r="B1810" s="8"/>
      <c r="C1810" s="8"/>
      <c r="D1810" s="8"/>
      <c r="E1810" s="8"/>
      <c r="F1810" s="8"/>
      <c r="G1810" s="8"/>
      <c r="H1810" s="8"/>
      <c r="I1810" s="9"/>
      <c r="J1810" s="9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7"/>
      <c r="B1811" s="8"/>
      <c r="C1811" s="8"/>
      <c r="D1811" s="8"/>
      <c r="E1811" s="8"/>
      <c r="F1811" s="8"/>
      <c r="G1811" s="8"/>
      <c r="H1811" s="8"/>
      <c r="I1811" s="9"/>
      <c r="J1811" s="9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7"/>
      <c r="B1812" s="8"/>
      <c r="C1812" s="8"/>
      <c r="D1812" s="8"/>
      <c r="E1812" s="8"/>
      <c r="F1812" s="8"/>
      <c r="G1812" s="8"/>
      <c r="H1812" s="8"/>
      <c r="I1812" s="9"/>
      <c r="J1812" s="9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7"/>
      <c r="B1813" s="8"/>
      <c r="C1813" s="8"/>
      <c r="D1813" s="8"/>
      <c r="E1813" s="8"/>
      <c r="F1813" s="8"/>
      <c r="G1813" s="8"/>
      <c r="H1813" s="8"/>
      <c r="I1813" s="9"/>
      <c r="J1813" s="9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7"/>
      <c r="B1814" s="8"/>
      <c r="C1814" s="8"/>
      <c r="D1814" s="8"/>
      <c r="E1814" s="8"/>
      <c r="F1814" s="8"/>
      <c r="G1814" s="8"/>
      <c r="H1814" s="8"/>
      <c r="I1814" s="9"/>
      <c r="J1814" s="9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7"/>
      <c r="B1815" s="8"/>
      <c r="C1815" s="8"/>
      <c r="D1815" s="8"/>
      <c r="E1815" s="8"/>
      <c r="F1815" s="8"/>
      <c r="G1815" s="8"/>
      <c r="H1815" s="8"/>
      <c r="I1815" s="9"/>
      <c r="J1815" s="9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7"/>
      <c r="B1816" s="8"/>
      <c r="C1816" s="8"/>
      <c r="D1816" s="8"/>
      <c r="E1816" s="8"/>
      <c r="F1816" s="8"/>
      <c r="G1816" s="8"/>
      <c r="H1816" s="8"/>
      <c r="I1816" s="9"/>
      <c r="J1816" s="9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7"/>
      <c r="B1817" s="8"/>
      <c r="C1817" s="8"/>
      <c r="D1817" s="8"/>
      <c r="E1817" s="8"/>
      <c r="F1817" s="8"/>
      <c r="G1817" s="8"/>
      <c r="H1817" s="8"/>
      <c r="I1817" s="9"/>
      <c r="J1817" s="9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7"/>
      <c r="B1818" s="8"/>
      <c r="C1818" s="8"/>
      <c r="D1818" s="8"/>
      <c r="E1818" s="8"/>
      <c r="F1818" s="8"/>
      <c r="G1818" s="8"/>
      <c r="H1818" s="8"/>
      <c r="I1818" s="9"/>
      <c r="J1818" s="9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7"/>
      <c r="B1819" s="8"/>
      <c r="C1819" s="8"/>
      <c r="D1819" s="8"/>
      <c r="E1819" s="8"/>
      <c r="F1819" s="8"/>
      <c r="G1819" s="8"/>
      <c r="H1819" s="8"/>
      <c r="I1819" s="9"/>
      <c r="J1819" s="9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7"/>
      <c r="B1820" s="8"/>
      <c r="C1820" s="8"/>
      <c r="D1820" s="8"/>
      <c r="E1820" s="8"/>
      <c r="F1820" s="8"/>
      <c r="G1820" s="8"/>
      <c r="H1820" s="8"/>
      <c r="I1820" s="9"/>
      <c r="J1820" s="9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7"/>
      <c r="B1821" s="8"/>
      <c r="C1821" s="8"/>
      <c r="D1821" s="8"/>
      <c r="E1821" s="8"/>
      <c r="F1821" s="8"/>
      <c r="G1821" s="8"/>
      <c r="H1821" s="8"/>
      <c r="I1821" s="9"/>
      <c r="J1821" s="9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7"/>
      <c r="B1822" s="8"/>
      <c r="C1822" s="8"/>
      <c r="D1822" s="8"/>
      <c r="E1822" s="8"/>
      <c r="F1822" s="8"/>
      <c r="G1822" s="8"/>
      <c r="H1822" s="8"/>
      <c r="I1822" s="9"/>
      <c r="J1822" s="9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7"/>
      <c r="B1823" s="8"/>
      <c r="C1823" s="8"/>
      <c r="D1823" s="8"/>
      <c r="E1823" s="8"/>
      <c r="F1823" s="8"/>
      <c r="G1823" s="8"/>
      <c r="H1823" s="8"/>
      <c r="I1823" s="9"/>
      <c r="J1823" s="9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7"/>
      <c r="B1824" s="8"/>
      <c r="C1824" s="8"/>
      <c r="D1824" s="8"/>
      <c r="E1824" s="8"/>
      <c r="F1824" s="8"/>
      <c r="G1824" s="8"/>
      <c r="H1824" s="8"/>
      <c r="I1824" s="9"/>
      <c r="J1824" s="9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7"/>
      <c r="B1825" s="8"/>
      <c r="C1825" s="8"/>
      <c r="D1825" s="8"/>
      <c r="E1825" s="8"/>
      <c r="F1825" s="8"/>
      <c r="G1825" s="8"/>
      <c r="H1825" s="8"/>
      <c r="I1825" s="9"/>
      <c r="J1825" s="9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7"/>
      <c r="B1826" s="8"/>
      <c r="C1826" s="8"/>
      <c r="D1826" s="8"/>
      <c r="E1826" s="8"/>
      <c r="F1826" s="8"/>
      <c r="G1826" s="8"/>
      <c r="H1826" s="8"/>
      <c r="I1826" s="9"/>
      <c r="J1826" s="9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7"/>
      <c r="B1827" s="8"/>
      <c r="C1827" s="8"/>
      <c r="D1827" s="8"/>
      <c r="E1827" s="8"/>
      <c r="F1827" s="8"/>
      <c r="G1827" s="8"/>
      <c r="H1827" s="8"/>
      <c r="I1827" s="9"/>
      <c r="J1827" s="9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7"/>
      <c r="B1828" s="8"/>
      <c r="C1828" s="8"/>
      <c r="D1828" s="8"/>
      <c r="E1828" s="8"/>
      <c r="F1828" s="8"/>
      <c r="G1828" s="8"/>
      <c r="H1828" s="8"/>
      <c r="I1828" s="9"/>
      <c r="J1828" s="9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7"/>
      <c r="B1829" s="8"/>
      <c r="C1829" s="8"/>
      <c r="D1829" s="8"/>
      <c r="E1829" s="8"/>
      <c r="F1829" s="8"/>
      <c r="G1829" s="8"/>
      <c r="H1829" s="8"/>
      <c r="I1829" s="9"/>
      <c r="J1829" s="9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7"/>
      <c r="B1830" s="8"/>
      <c r="C1830" s="8"/>
      <c r="D1830" s="8"/>
      <c r="E1830" s="8"/>
      <c r="F1830" s="8"/>
      <c r="G1830" s="8"/>
      <c r="H1830" s="8"/>
      <c r="I1830" s="9"/>
      <c r="J1830" s="9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7"/>
      <c r="B1831" s="8"/>
      <c r="C1831" s="8"/>
      <c r="D1831" s="8"/>
      <c r="E1831" s="8"/>
      <c r="F1831" s="8"/>
      <c r="G1831" s="8"/>
      <c r="H1831" s="8"/>
      <c r="I1831" s="9"/>
      <c r="J1831" s="9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7"/>
      <c r="B1832" s="8"/>
      <c r="C1832" s="8"/>
      <c r="D1832" s="8"/>
      <c r="E1832" s="8"/>
      <c r="F1832" s="8"/>
      <c r="G1832" s="8"/>
      <c r="H1832" s="8"/>
      <c r="I1832" s="9"/>
      <c r="J1832" s="9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7"/>
      <c r="B1833" s="8"/>
      <c r="C1833" s="8"/>
      <c r="D1833" s="8"/>
      <c r="E1833" s="8"/>
      <c r="F1833" s="8"/>
      <c r="G1833" s="8"/>
      <c r="H1833" s="8"/>
      <c r="I1833" s="9"/>
      <c r="J1833" s="9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7"/>
      <c r="B1834" s="8"/>
      <c r="C1834" s="8"/>
      <c r="D1834" s="8"/>
      <c r="E1834" s="8"/>
      <c r="F1834" s="8"/>
      <c r="G1834" s="8"/>
      <c r="H1834" s="8"/>
      <c r="I1834" s="9"/>
      <c r="J1834" s="9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7"/>
      <c r="B1835" s="8"/>
      <c r="C1835" s="8"/>
      <c r="D1835" s="8"/>
      <c r="E1835" s="8"/>
      <c r="F1835" s="8"/>
      <c r="G1835" s="8"/>
      <c r="H1835" s="8"/>
      <c r="I1835" s="9"/>
      <c r="J1835" s="9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7"/>
      <c r="B1836" s="8"/>
      <c r="C1836" s="8"/>
      <c r="D1836" s="8"/>
      <c r="E1836" s="8"/>
      <c r="F1836" s="8"/>
      <c r="G1836" s="8"/>
      <c r="H1836" s="8"/>
      <c r="I1836" s="9"/>
      <c r="J1836" s="9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7"/>
      <c r="B1837" s="8"/>
      <c r="C1837" s="8"/>
      <c r="D1837" s="8"/>
      <c r="E1837" s="8"/>
      <c r="F1837" s="8"/>
      <c r="G1837" s="8"/>
      <c r="H1837" s="8"/>
      <c r="I1837" s="9"/>
      <c r="J1837" s="9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7"/>
      <c r="B1838" s="8"/>
      <c r="C1838" s="8"/>
      <c r="D1838" s="8"/>
      <c r="E1838" s="8"/>
      <c r="F1838" s="8"/>
      <c r="G1838" s="8"/>
      <c r="H1838" s="8"/>
      <c r="I1838" s="9"/>
      <c r="J1838" s="9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7"/>
      <c r="B1839" s="8"/>
      <c r="C1839" s="8"/>
      <c r="D1839" s="8"/>
      <c r="E1839" s="8"/>
      <c r="F1839" s="8"/>
      <c r="G1839" s="8"/>
      <c r="H1839" s="8"/>
      <c r="I1839" s="9"/>
      <c r="J1839" s="9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7"/>
      <c r="B1840" s="8"/>
      <c r="C1840" s="8"/>
      <c r="D1840" s="8"/>
      <c r="E1840" s="8"/>
      <c r="F1840" s="8"/>
      <c r="G1840" s="8"/>
      <c r="H1840" s="8"/>
      <c r="I1840" s="9"/>
      <c r="J1840" s="9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7"/>
      <c r="B1841" s="8"/>
      <c r="C1841" s="8"/>
      <c r="D1841" s="8"/>
      <c r="E1841" s="8"/>
      <c r="F1841" s="8"/>
      <c r="G1841" s="8"/>
      <c r="H1841" s="8"/>
      <c r="I1841" s="9"/>
      <c r="J1841" s="9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7"/>
      <c r="B1842" s="8"/>
      <c r="C1842" s="8"/>
      <c r="D1842" s="8"/>
      <c r="E1842" s="8"/>
      <c r="F1842" s="8"/>
      <c r="G1842" s="8"/>
      <c r="H1842" s="8"/>
      <c r="I1842" s="9"/>
      <c r="J1842" s="9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7"/>
      <c r="B1843" s="8"/>
      <c r="C1843" s="8"/>
      <c r="D1843" s="8"/>
      <c r="E1843" s="8"/>
      <c r="F1843" s="8"/>
      <c r="G1843" s="8"/>
      <c r="H1843" s="8"/>
      <c r="I1843" s="9"/>
      <c r="J1843" s="9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7"/>
      <c r="B1844" s="8"/>
      <c r="C1844" s="8"/>
      <c r="D1844" s="8"/>
      <c r="E1844" s="8"/>
      <c r="F1844" s="8"/>
      <c r="G1844" s="8"/>
      <c r="H1844" s="8"/>
      <c r="I1844" s="9"/>
      <c r="J1844" s="9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7"/>
      <c r="B1845" s="8"/>
      <c r="C1845" s="8"/>
      <c r="D1845" s="8"/>
      <c r="E1845" s="8"/>
      <c r="F1845" s="8"/>
      <c r="G1845" s="8"/>
      <c r="H1845" s="8"/>
      <c r="I1845" s="9"/>
      <c r="J1845" s="9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7"/>
      <c r="B1846" s="8"/>
      <c r="C1846" s="8"/>
      <c r="D1846" s="8"/>
      <c r="E1846" s="8"/>
      <c r="F1846" s="8"/>
      <c r="G1846" s="8"/>
      <c r="H1846" s="8"/>
      <c r="I1846" s="9"/>
      <c r="J1846" s="9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7"/>
      <c r="B1847" s="8"/>
      <c r="C1847" s="8"/>
      <c r="D1847" s="8"/>
      <c r="E1847" s="8"/>
      <c r="F1847" s="8"/>
      <c r="G1847" s="8"/>
      <c r="H1847" s="8"/>
      <c r="I1847" s="9"/>
      <c r="J1847" s="9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7"/>
      <c r="B1848" s="8"/>
      <c r="C1848" s="8"/>
      <c r="D1848" s="8"/>
      <c r="E1848" s="8"/>
      <c r="F1848" s="8"/>
      <c r="G1848" s="8"/>
      <c r="H1848" s="8"/>
      <c r="I1848" s="9"/>
      <c r="J1848" s="9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7"/>
      <c r="B1849" s="8"/>
      <c r="C1849" s="8"/>
      <c r="D1849" s="8"/>
      <c r="E1849" s="8"/>
      <c r="F1849" s="8"/>
      <c r="G1849" s="8"/>
      <c r="H1849" s="8"/>
      <c r="I1849" s="9"/>
      <c r="J1849" s="9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7"/>
      <c r="B1850" s="8"/>
      <c r="C1850" s="8"/>
      <c r="D1850" s="8"/>
      <c r="E1850" s="8"/>
      <c r="F1850" s="8"/>
      <c r="G1850" s="8"/>
      <c r="H1850" s="8"/>
      <c r="I1850" s="9"/>
      <c r="J1850" s="9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7"/>
      <c r="B1851" s="8"/>
      <c r="C1851" s="8"/>
      <c r="D1851" s="8"/>
      <c r="E1851" s="8"/>
      <c r="F1851" s="8"/>
      <c r="G1851" s="8"/>
      <c r="H1851" s="8"/>
      <c r="I1851" s="9"/>
      <c r="J1851" s="9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7"/>
      <c r="B1852" s="8"/>
      <c r="C1852" s="8"/>
      <c r="D1852" s="8"/>
      <c r="E1852" s="8"/>
      <c r="F1852" s="8"/>
      <c r="G1852" s="8"/>
      <c r="H1852" s="8"/>
      <c r="I1852" s="9"/>
      <c r="J1852" s="9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7"/>
      <c r="B1853" s="8"/>
      <c r="C1853" s="8"/>
      <c r="D1853" s="8"/>
      <c r="E1853" s="8"/>
      <c r="F1853" s="8"/>
      <c r="G1853" s="8"/>
      <c r="H1853" s="8"/>
      <c r="I1853" s="9"/>
      <c r="J1853" s="9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7"/>
      <c r="B1854" s="8"/>
      <c r="C1854" s="8"/>
      <c r="D1854" s="8"/>
      <c r="E1854" s="8"/>
      <c r="F1854" s="8"/>
      <c r="G1854" s="8"/>
      <c r="H1854" s="8"/>
      <c r="I1854" s="9"/>
      <c r="J1854" s="9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7"/>
      <c r="B1855" s="8"/>
      <c r="C1855" s="8"/>
      <c r="D1855" s="8"/>
      <c r="E1855" s="8"/>
      <c r="F1855" s="8"/>
      <c r="G1855" s="8"/>
      <c r="H1855" s="8"/>
      <c r="I1855" s="9"/>
      <c r="J1855" s="9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7"/>
      <c r="B1856" s="8"/>
      <c r="C1856" s="8"/>
      <c r="D1856" s="8"/>
      <c r="E1856" s="8"/>
      <c r="F1856" s="8"/>
      <c r="G1856" s="8"/>
      <c r="H1856" s="8"/>
      <c r="I1856" s="9"/>
      <c r="J1856" s="9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7"/>
      <c r="B1857" s="8"/>
      <c r="C1857" s="8"/>
      <c r="D1857" s="8"/>
      <c r="E1857" s="8"/>
      <c r="F1857" s="8"/>
      <c r="G1857" s="8"/>
      <c r="H1857" s="8"/>
      <c r="I1857" s="9"/>
      <c r="J1857" s="9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7"/>
      <c r="B1858" s="8"/>
      <c r="C1858" s="8"/>
      <c r="D1858" s="8"/>
      <c r="E1858" s="8"/>
      <c r="F1858" s="8"/>
      <c r="G1858" s="8"/>
      <c r="H1858" s="8"/>
      <c r="I1858" s="9"/>
      <c r="J1858" s="9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7"/>
      <c r="B1859" s="8"/>
      <c r="C1859" s="8"/>
      <c r="D1859" s="8"/>
      <c r="E1859" s="8"/>
      <c r="F1859" s="8"/>
      <c r="G1859" s="8"/>
      <c r="H1859" s="8"/>
      <c r="I1859" s="9"/>
      <c r="J1859" s="9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7"/>
      <c r="B1860" s="8"/>
      <c r="C1860" s="8"/>
      <c r="D1860" s="8"/>
      <c r="E1860" s="8"/>
      <c r="F1860" s="8"/>
      <c r="G1860" s="8"/>
      <c r="H1860" s="8"/>
      <c r="I1860" s="9"/>
      <c r="J1860" s="9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7"/>
      <c r="B1861" s="8"/>
      <c r="C1861" s="8"/>
      <c r="D1861" s="8"/>
      <c r="E1861" s="8"/>
      <c r="F1861" s="8"/>
      <c r="G1861" s="8"/>
      <c r="H1861" s="8"/>
      <c r="I1861" s="9"/>
      <c r="J1861" s="9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7"/>
      <c r="B1862" s="8"/>
      <c r="C1862" s="8"/>
      <c r="D1862" s="8"/>
      <c r="E1862" s="8"/>
      <c r="F1862" s="8"/>
      <c r="G1862" s="8"/>
      <c r="H1862" s="8"/>
      <c r="I1862" s="9"/>
      <c r="J1862" s="9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7"/>
      <c r="B1863" s="8"/>
      <c r="C1863" s="8"/>
      <c r="D1863" s="8"/>
      <c r="E1863" s="8"/>
      <c r="F1863" s="8"/>
      <c r="G1863" s="8"/>
      <c r="H1863" s="8"/>
      <c r="I1863" s="9"/>
      <c r="J1863" s="9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7"/>
      <c r="B1864" s="8"/>
      <c r="C1864" s="8"/>
      <c r="D1864" s="8"/>
      <c r="E1864" s="8"/>
      <c r="F1864" s="8"/>
      <c r="G1864" s="8"/>
      <c r="H1864" s="8"/>
      <c r="I1864" s="9"/>
      <c r="J1864" s="9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7"/>
      <c r="B1865" s="8"/>
      <c r="C1865" s="8"/>
      <c r="D1865" s="8"/>
      <c r="E1865" s="8"/>
      <c r="F1865" s="8"/>
      <c r="G1865" s="8"/>
      <c r="H1865" s="8"/>
      <c r="I1865" s="9"/>
      <c r="J1865" s="9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7"/>
      <c r="B1866" s="8"/>
      <c r="C1866" s="8"/>
      <c r="D1866" s="8"/>
      <c r="E1866" s="8"/>
      <c r="F1866" s="8"/>
      <c r="G1866" s="8"/>
      <c r="H1866" s="8"/>
      <c r="I1866" s="9"/>
      <c r="J1866" s="9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7"/>
      <c r="B1867" s="8"/>
      <c r="C1867" s="8"/>
      <c r="D1867" s="8"/>
      <c r="E1867" s="8"/>
      <c r="F1867" s="8"/>
      <c r="G1867" s="8"/>
      <c r="H1867" s="8"/>
      <c r="I1867" s="9"/>
      <c r="J1867" s="9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7"/>
      <c r="B1868" s="8"/>
      <c r="C1868" s="8"/>
      <c r="D1868" s="8"/>
      <c r="E1868" s="8"/>
      <c r="F1868" s="8"/>
      <c r="G1868" s="8"/>
      <c r="H1868" s="8"/>
      <c r="I1868" s="9"/>
      <c r="J1868" s="9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7"/>
      <c r="B1869" s="8"/>
      <c r="C1869" s="8"/>
      <c r="D1869" s="8"/>
      <c r="E1869" s="8"/>
      <c r="F1869" s="8"/>
      <c r="G1869" s="8"/>
      <c r="H1869" s="8"/>
      <c r="I1869" s="9"/>
      <c r="J1869" s="9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7"/>
      <c r="B1870" s="8"/>
      <c r="C1870" s="8"/>
      <c r="D1870" s="8"/>
      <c r="E1870" s="8"/>
      <c r="F1870" s="8"/>
      <c r="G1870" s="8"/>
      <c r="H1870" s="8"/>
      <c r="I1870" s="9"/>
      <c r="J1870" s="9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7"/>
      <c r="B1871" s="8"/>
      <c r="C1871" s="8"/>
      <c r="D1871" s="8"/>
      <c r="E1871" s="8"/>
      <c r="F1871" s="8"/>
      <c r="G1871" s="8"/>
      <c r="H1871" s="8"/>
      <c r="I1871" s="9"/>
      <c r="J1871" s="9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7"/>
      <c r="B1872" s="8"/>
      <c r="C1872" s="8"/>
      <c r="D1872" s="8"/>
      <c r="E1872" s="8"/>
      <c r="F1872" s="8"/>
      <c r="G1872" s="8"/>
      <c r="H1872" s="8"/>
      <c r="I1872" s="9"/>
      <c r="J1872" s="9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7"/>
      <c r="B1873" s="8"/>
      <c r="C1873" s="8"/>
      <c r="D1873" s="8"/>
      <c r="E1873" s="8"/>
      <c r="F1873" s="8"/>
      <c r="G1873" s="8"/>
      <c r="H1873" s="8"/>
      <c r="I1873" s="9"/>
      <c r="J1873" s="9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7"/>
      <c r="B1874" s="8"/>
      <c r="C1874" s="8"/>
      <c r="D1874" s="8"/>
      <c r="E1874" s="8"/>
      <c r="F1874" s="8"/>
      <c r="G1874" s="8"/>
      <c r="H1874" s="8"/>
      <c r="I1874" s="9"/>
      <c r="J1874" s="9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7"/>
      <c r="B1875" s="8"/>
      <c r="C1875" s="8"/>
      <c r="D1875" s="8"/>
      <c r="E1875" s="8"/>
      <c r="F1875" s="8"/>
      <c r="G1875" s="8"/>
      <c r="H1875" s="8"/>
      <c r="I1875" s="9"/>
      <c r="J1875" s="9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7"/>
      <c r="B1876" s="8"/>
      <c r="C1876" s="8"/>
      <c r="D1876" s="8"/>
      <c r="E1876" s="8"/>
      <c r="F1876" s="8"/>
      <c r="G1876" s="8"/>
      <c r="H1876" s="8"/>
      <c r="I1876" s="9"/>
      <c r="J1876" s="9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7"/>
      <c r="B1877" s="8"/>
      <c r="C1877" s="8"/>
      <c r="D1877" s="8"/>
      <c r="E1877" s="8"/>
      <c r="F1877" s="8"/>
      <c r="G1877" s="8"/>
      <c r="H1877" s="8"/>
      <c r="I1877" s="9"/>
      <c r="J1877" s="9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7"/>
      <c r="B1878" s="8"/>
      <c r="C1878" s="8"/>
      <c r="D1878" s="8"/>
      <c r="E1878" s="8"/>
      <c r="F1878" s="8"/>
      <c r="G1878" s="8"/>
      <c r="H1878" s="8"/>
      <c r="I1878" s="9"/>
      <c r="J1878" s="9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7"/>
      <c r="B1879" s="8"/>
      <c r="C1879" s="8"/>
      <c r="D1879" s="8"/>
      <c r="E1879" s="8"/>
      <c r="F1879" s="8"/>
      <c r="G1879" s="8"/>
      <c r="H1879" s="8"/>
      <c r="I1879" s="9"/>
      <c r="J1879" s="9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7"/>
      <c r="B1880" s="8"/>
      <c r="C1880" s="8"/>
      <c r="D1880" s="8"/>
      <c r="E1880" s="8"/>
      <c r="F1880" s="8"/>
      <c r="G1880" s="8"/>
      <c r="H1880" s="8"/>
      <c r="I1880" s="9"/>
      <c r="J1880" s="9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7"/>
      <c r="B1881" s="8"/>
      <c r="C1881" s="8"/>
      <c r="D1881" s="8"/>
      <c r="E1881" s="8"/>
      <c r="F1881" s="8"/>
      <c r="G1881" s="8"/>
      <c r="H1881" s="8"/>
      <c r="I1881" s="9"/>
      <c r="J1881" s="9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7"/>
      <c r="B1882" s="8"/>
      <c r="C1882" s="8"/>
      <c r="D1882" s="8"/>
      <c r="E1882" s="8"/>
      <c r="F1882" s="8"/>
      <c r="G1882" s="8"/>
      <c r="H1882" s="8"/>
      <c r="I1882" s="9"/>
      <c r="J1882" s="9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7"/>
      <c r="B1883" s="8"/>
      <c r="C1883" s="8"/>
      <c r="D1883" s="8"/>
      <c r="E1883" s="8"/>
      <c r="F1883" s="8"/>
      <c r="G1883" s="8"/>
      <c r="H1883" s="8"/>
      <c r="I1883" s="9"/>
      <c r="J1883" s="9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7"/>
      <c r="B1884" s="8"/>
      <c r="C1884" s="8"/>
      <c r="D1884" s="8"/>
      <c r="E1884" s="8"/>
      <c r="F1884" s="8"/>
      <c r="G1884" s="8"/>
      <c r="H1884" s="8"/>
      <c r="I1884" s="9"/>
      <c r="J1884" s="9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7"/>
      <c r="B1885" s="8"/>
      <c r="C1885" s="8"/>
      <c r="D1885" s="8"/>
      <c r="E1885" s="8"/>
      <c r="F1885" s="8"/>
      <c r="G1885" s="8"/>
      <c r="H1885" s="8"/>
      <c r="I1885" s="9"/>
      <c r="J1885" s="9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7"/>
      <c r="B1886" s="8"/>
      <c r="C1886" s="8"/>
      <c r="D1886" s="8"/>
      <c r="E1886" s="8"/>
      <c r="F1886" s="8"/>
      <c r="G1886" s="8"/>
      <c r="H1886" s="8"/>
      <c r="I1886" s="9"/>
      <c r="J1886" s="9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7"/>
      <c r="B1887" s="8"/>
      <c r="C1887" s="8"/>
      <c r="D1887" s="8"/>
      <c r="E1887" s="8"/>
      <c r="F1887" s="8"/>
      <c r="G1887" s="8"/>
      <c r="H1887" s="8"/>
      <c r="I1887" s="9"/>
      <c r="J1887" s="9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7"/>
      <c r="B1888" s="8"/>
      <c r="C1888" s="8"/>
      <c r="D1888" s="8"/>
      <c r="E1888" s="8"/>
      <c r="F1888" s="8"/>
      <c r="G1888" s="8"/>
      <c r="H1888" s="8"/>
      <c r="I1888" s="9"/>
      <c r="J1888" s="9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7"/>
      <c r="B1889" s="8"/>
      <c r="C1889" s="8"/>
      <c r="D1889" s="8"/>
      <c r="E1889" s="8"/>
      <c r="F1889" s="8"/>
      <c r="G1889" s="8"/>
      <c r="H1889" s="8"/>
      <c r="I1889" s="9"/>
      <c r="J1889" s="9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7"/>
      <c r="B1890" s="8"/>
      <c r="C1890" s="8"/>
      <c r="D1890" s="8"/>
      <c r="E1890" s="8"/>
      <c r="F1890" s="8"/>
      <c r="G1890" s="8"/>
      <c r="H1890" s="8"/>
      <c r="I1890" s="9"/>
      <c r="J1890" s="9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7"/>
      <c r="B1891" s="8"/>
      <c r="C1891" s="8"/>
      <c r="D1891" s="8"/>
      <c r="E1891" s="8"/>
      <c r="F1891" s="8"/>
      <c r="G1891" s="8"/>
      <c r="H1891" s="8"/>
      <c r="I1891" s="9"/>
      <c r="J1891" s="9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7"/>
      <c r="B1892" s="8"/>
      <c r="C1892" s="8"/>
      <c r="D1892" s="8"/>
      <c r="E1892" s="8"/>
      <c r="F1892" s="8"/>
      <c r="G1892" s="8"/>
      <c r="H1892" s="8"/>
      <c r="I1892" s="9"/>
      <c r="J1892" s="9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7"/>
      <c r="B1893" s="8"/>
      <c r="C1893" s="8"/>
      <c r="D1893" s="8"/>
      <c r="E1893" s="8"/>
      <c r="F1893" s="8"/>
      <c r="G1893" s="8"/>
      <c r="H1893" s="8"/>
      <c r="I1893" s="9"/>
      <c r="J1893" s="9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7"/>
      <c r="B1894" s="8"/>
      <c r="C1894" s="8"/>
      <c r="D1894" s="8"/>
      <c r="E1894" s="8"/>
      <c r="F1894" s="8"/>
      <c r="G1894" s="8"/>
      <c r="H1894" s="8"/>
      <c r="I1894" s="9"/>
      <c r="J1894" s="9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7"/>
      <c r="B1895" s="8"/>
      <c r="C1895" s="8"/>
      <c r="D1895" s="8"/>
      <c r="E1895" s="8"/>
      <c r="F1895" s="8"/>
      <c r="G1895" s="8"/>
      <c r="H1895" s="8"/>
      <c r="I1895" s="9"/>
      <c r="J1895" s="9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7"/>
      <c r="B1896" s="8"/>
      <c r="C1896" s="8"/>
      <c r="D1896" s="8"/>
      <c r="E1896" s="8"/>
      <c r="F1896" s="8"/>
      <c r="G1896" s="8"/>
      <c r="H1896" s="8"/>
      <c r="I1896" s="9"/>
      <c r="J1896" s="9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7"/>
      <c r="B1897" s="8"/>
      <c r="C1897" s="8"/>
      <c r="D1897" s="8"/>
      <c r="E1897" s="8"/>
      <c r="F1897" s="8"/>
      <c r="G1897" s="8"/>
      <c r="H1897" s="8"/>
      <c r="I1897" s="9"/>
      <c r="J1897" s="9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7"/>
      <c r="B1898" s="8"/>
      <c r="C1898" s="8"/>
      <c r="D1898" s="8"/>
      <c r="E1898" s="8"/>
      <c r="F1898" s="8"/>
      <c r="G1898" s="8"/>
      <c r="H1898" s="8"/>
      <c r="I1898" s="9"/>
      <c r="J1898" s="9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7"/>
      <c r="B1899" s="8"/>
      <c r="C1899" s="8"/>
      <c r="D1899" s="8"/>
      <c r="E1899" s="8"/>
      <c r="F1899" s="8"/>
      <c r="G1899" s="8"/>
      <c r="H1899" s="8"/>
      <c r="I1899" s="9"/>
      <c r="J1899" s="9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7"/>
      <c r="B1900" s="8"/>
      <c r="C1900" s="8"/>
      <c r="D1900" s="8"/>
      <c r="E1900" s="8"/>
      <c r="F1900" s="8"/>
      <c r="G1900" s="8"/>
      <c r="H1900" s="8"/>
      <c r="I1900" s="9"/>
      <c r="J1900" s="9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7"/>
      <c r="B1901" s="8"/>
      <c r="C1901" s="8"/>
      <c r="D1901" s="8"/>
      <c r="E1901" s="8"/>
      <c r="F1901" s="8"/>
      <c r="G1901" s="8"/>
      <c r="H1901" s="8"/>
      <c r="I1901" s="9"/>
      <c r="J1901" s="9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7"/>
      <c r="B1902" s="8"/>
      <c r="C1902" s="8"/>
      <c r="D1902" s="8"/>
      <c r="E1902" s="8"/>
      <c r="F1902" s="8"/>
      <c r="G1902" s="8"/>
      <c r="H1902" s="8"/>
      <c r="I1902" s="9"/>
      <c r="J1902" s="9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7"/>
      <c r="B1903" s="8"/>
      <c r="C1903" s="8"/>
      <c r="D1903" s="8"/>
      <c r="E1903" s="8"/>
      <c r="F1903" s="8"/>
      <c r="G1903" s="8"/>
      <c r="H1903" s="8"/>
      <c r="I1903" s="9"/>
      <c r="J1903" s="9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7"/>
      <c r="B1904" s="8"/>
      <c r="C1904" s="8"/>
      <c r="D1904" s="8"/>
      <c r="E1904" s="8"/>
      <c r="F1904" s="8"/>
      <c r="G1904" s="8"/>
      <c r="H1904" s="8"/>
      <c r="I1904" s="9"/>
      <c r="J1904" s="9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7"/>
      <c r="B1905" s="8"/>
      <c r="C1905" s="8"/>
      <c r="D1905" s="8"/>
      <c r="E1905" s="8"/>
      <c r="F1905" s="8"/>
      <c r="G1905" s="8"/>
      <c r="H1905" s="8"/>
      <c r="I1905" s="9"/>
      <c r="J1905" s="9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7"/>
      <c r="B1906" s="8"/>
      <c r="C1906" s="8"/>
      <c r="D1906" s="8"/>
      <c r="E1906" s="8"/>
      <c r="F1906" s="8"/>
      <c r="G1906" s="8"/>
      <c r="H1906" s="8"/>
      <c r="I1906" s="9"/>
      <c r="J1906" s="9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7"/>
      <c r="B1907" s="8"/>
      <c r="C1907" s="8"/>
      <c r="D1907" s="8"/>
      <c r="E1907" s="8"/>
      <c r="F1907" s="8"/>
      <c r="G1907" s="8"/>
      <c r="H1907" s="8"/>
      <c r="I1907" s="9"/>
      <c r="J1907" s="9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7"/>
      <c r="B1908" s="8"/>
      <c r="C1908" s="8"/>
      <c r="D1908" s="8"/>
      <c r="E1908" s="8"/>
      <c r="F1908" s="8"/>
      <c r="G1908" s="8"/>
      <c r="H1908" s="8"/>
      <c r="I1908" s="9"/>
      <c r="J1908" s="9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7"/>
      <c r="B1909" s="8"/>
      <c r="C1909" s="8"/>
      <c r="D1909" s="8"/>
      <c r="E1909" s="8"/>
      <c r="F1909" s="8"/>
      <c r="G1909" s="8"/>
      <c r="H1909" s="8"/>
      <c r="I1909" s="9"/>
      <c r="J1909" s="9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7"/>
      <c r="B1910" s="8"/>
      <c r="C1910" s="8"/>
      <c r="D1910" s="8"/>
      <c r="E1910" s="8"/>
      <c r="F1910" s="8"/>
      <c r="G1910" s="8"/>
      <c r="H1910" s="8"/>
      <c r="I1910" s="9"/>
      <c r="J1910" s="9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7"/>
      <c r="B1911" s="8"/>
      <c r="C1911" s="8"/>
      <c r="D1911" s="8"/>
      <c r="E1911" s="8"/>
      <c r="F1911" s="8"/>
      <c r="G1911" s="8"/>
      <c r="H1911" s="8"/>
      <c r="I1911" s="9"/>
      <c r="J1911" s="9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7"/>
      <c r="B1912" s="8"/>
      <c r="C1912" s="8"/>
      <c r="D1912" s="8"/>
      <c r="E1912" s="8"/>
      <c r="F1912" s="8"/>
      <c r="G1912" s="8"/>
      <c r="H1912" s="8"/>
      <c r="I1912" s="9"/>
      <c r="J1912" s="9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7"/>
      <c r="B1913" s="8"/>
      <c r="C1913" s="8"/>
      <c r="D1913" s="8"/>
      <c r="E1913" s="8"/>
      <c r="F1913" s="8"/>
      <c r="G1913" s="8"/>
      <c r="H1913" s="8"/>
      <c r="I1913" s="9"/>
      <c r="J1913" s="9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7"/>
      <c r="B1914" s="8"/>
      <c r="C1914" s="8"/>
      <c r="D1914" s="8"/>
      <c r="E1914" s="8"/>
      <c r="F1914" s="8"/>
      <c r="G1914" s="8"/>
      <c r="H1914" s="8"/>
      <c r="I1914" s="9"/>
      <c r="J1914" s="9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7"/>
      <c r="B1915" s="8"/>
      <c r="C1915" s="8"/>
      <c r="D1915" s="8"/>
      <c r="E1915" s="8"/>
      <c r="F1915" s="8"/>
      <c r="G1915" s="8"/>
      <c r="H1915" s="8"/>
      <c r="I1915" s="9"/>
      <c r="J1915" s="9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7"/>
      <c r="B1916" s="8"/>
      <c r="C1916" s="8"/>
      <c r="D1916" s="8"/>
      <c r="E1916" s="8"/>
      <c r="F1916" s="8"/>
      <c r="G1916" s="8"/>
      <c r="H1916" s="8"/>
      <c r="I1916" s="9"/>
      <c r="J1916" s="9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7"/>
      <c r="B1917" s="8"/>
      <c r="C1917" s="8"/>
      <c r="D1917" s="8"/>
      <c r="E1917" s="8"/>
      <c r="F1917" s="8"/>
      <c r="G1917" s="8"/>
      <c r="H1917" s="8"/>
      <c r="I1917" s="9"/>
      <c r="J1917" s="9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7"/>
      <c r="B1918" s="8"/>
      <c r="C1918" s="8"/>
      <c r="D1918" s="8"/>
      <c r="E1918" s="8"/>
      <c r="F1918" s="8"/>
      <c r="G1918" s="8"/>
      <c r="H1918" s="8"/>
      <c r="I1918" s="9"/>
      <c r="J1918" s="9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7"/>
      <c r="B1919" s="8"/>
      <c r="C1919" s="8"/>
      <c r="D1919" s="8"/>
      <c r="E1919" s="8"/>
      <c r="F1919" s="8"/>
      <c r="G1919" s="8"/>
      <c r="H1919" s="8"/>
      <c r="I1919" s="9"/>
      <c r="J1919" s="9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7"/>
      <c r="B1920" s="8"/>
      <c r="C1920" s="8"/>
      <c r="D1920" s="8"/>
      <c r="E1920" s="8"/>
      <c r="F1920" s="8"/>
      <c r="G1920" s="8"/>
      <c r="H1920" s="8"/>
      <c r="I1920" s="9"/>
      <c r="J1920" s="9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7"/>
      <c r="B1921" s="8"/>
      <c r="C1921" s="8"/>
      <c r="D1921" s="8"/>
      <c r="E1921" s="8"/>
      <c r="F1921" s="8"/>
      <c r="G1921" s="8"/>
      <c r="H1921" s="8"/>
      <c r="I1921" s="9"/>
      <c r="J1921" s="9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7"/>
      <c r="B1922" s="8"/>
      <c r="C1922" s="8"/>
      <c r="D1922" s="8"/>
      <c r="E1922" s="8"/>
      <c r="F1922" s="8"/>
      <c r="G1922" s="8"/>
      <c r="H1922" s="8"/>
      <c r="I1922" s="9"/>
      <c r="J1922" s="9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7"/>
      <c r="B1923" s="8"/>
      <c r="C1923" s="8"/>
      <c r="D1923" s="8"/>
      <c r="E1923" s="8"/>
      <c r="F1923" s="8"/>
      <c r="G1923" s="8"/>
      <c r="H1923" s="8"/>
      <c r="I1923" s="9"/>
      <c r="J1923" s="9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7"/>
      <c r="B1924" s="8"/>
      <c r="C1924" s="8"/>
      <c r="D1924" s="8"/>
      <c r="E1924" s="8"/>
      <c r="F1924" s="8"/>
      <c r="G1924" s="8"/>
      <c r="H1924" s="8"/>
      <c r="I1924" s="9"/>
      <c r="J1924" s="9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7"/>
      <c r="B1925" s="8"/>
      <c r="C1925" s="8"/>
      <c r="D1925" s="8"/>
      <c r="E1925" s="8"/>
      <c r="F1925" s="8"/>
      <c r="G1925" s="8"/>
      <c r="H1925" s="8"/>
      <c r="I1925" s="9"/>
      <c r="J1925" s="9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7"/>
      <c r="B1926" s="8"/>
      <c r="C1926" s="8"/>
      <c r="D1926" s="8"/>
      <c r="E1926" s="8"/>
      <c r="F1926" s="8"/>
      <c r="G1926" s="8"/>
      <c r="H1926" s="8"/>
      <c r="I1926" s="9"/>
      <c r="J1926" s="9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7"/>
      <c r="B1927" s="8"/>
      <c r="C1927" s="8"/>
      <c r="D1927" s="8"/>
      <c r="E1927" s="8"/>
      <c r="F1927" s="8"/>
      <c r="G1927" s="8"/>
      <c r="H1927" s="8"/>
      <c r="I1927" s="9"/>
      <c r="J1927" s="9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7"/>
      <c r="B1928" s="8"/>
      <c r="C1928" s="8"/>
      <c r="D1928" s="8"/>
      <c r="E1928" s="8"/>
      <c r="F1928" s="8"/>
      <c r="G1928" s="8"/>
      <c r="H1928" s="8"/>
      <c r="I1928" s="9"/>
      <c r="J1928" s="9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7"/>
      <c r="B1929" s="8"/>
      <c r="C1929" s="8"/>
      <c r="D1929" s="8"/>
      <c r="E1929" s="8"/>
      <c r="F1929" s="8"/>
      <c r="G1929" s="8"/>
      <c r="H1929" s="8"/>
      <c r="I1929" s="9"/>
      <c r="J1929" s="9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7"/>
      <c r="B1930" s="8"/>
      <c r="C1930" s="8"/>
      <c r="D1930" s="8"/>
      <c r="E1930" s="8"/>
      <c r="F1930" s="8"/>
      <c r="G1930" s="8"/>
      <c r="H1930" s="8"/>
      <c r="I1930" s="9"/>
      <c r="J1930" s="9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7"/>
      <c r="B1931" s="8"/>
      <c r="C1931" s="8"/>
      <c r="D1931" s="8"/>
      <c r="E1931" s="8"/>
      <c r="F1931" s="8"/>
      <c r="G1931" s="8"/>
      <c r="H1931" s="8"/>
      <c r="I1931" s="9"/>
      <c r="J1931" s="9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7"/>
      <c r="B1932" s="8"/>
      <c r="C1932" s="8"/>
      <c r="D1932" s="8"/>
      <c r="E1932" s="8"/>
      <c r="F1932" s="8"/>
      <c r="G1932" s="8"/>
      <c r="H1932" s="8"/>
      <c r="I1932" s="9"/>
      <c r="J1932" s="9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7"/>
      <c r="B1933" s="8"/>
      <c r="C1933" s="8"/>
      <c r="D1933" s="8"/>
      <c r="E1933" s="8"/>
      <c r="F1933" s="8"/>
      <c r="G1933" s="8"/>
      <c r="H1933" s="8"/>
      <c r="I1933" s="9"/>
      <c r="J1933" s="9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7"/>
      <c r="B1934" s="8"/>
      <c r="C1934" s="8"/>
      <c r="D1934" s="8"/>
      <c r="E1934" s="8"/>
      <c r="F1934" s="8"/>
      <c r="G1934" s="8"/>
      <c r="H1934" s="8"/>
      <c r="I1934" s="9"/>
      <c r="J1934" s="9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7"/>
      <c r="B1935" s="8"/>
      <c r="C1935" s="8"/>
      <c r="D1935" s="8"/>
      <c r="E1935" s="8"/>
      <c r="F1935" s="8"/>
      <c r="G1935" s="8"/>
      <c r="H1935" s="8"/>
      <c r="I1935" s="9"/>
      <c r="J1935" s="9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7"/>
      <c r="B1936" s="8"/>
      <c r="C1936" s="8"/>
      <c r="D1936" s="8"/>
      <c r="E1936" s="8"/>
      <c r="F1936" s="8"/>
      <c r="G1936" s="8"/>
      <c r="H1936" s="8"/>
      <c r="I1936" s="9"/>
      <c r="J1936" s="9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7"/>
      <c r="B1937" s="8"/>
      <c r="C1937" s="8"/>
      <c r="D1937" s="8"/>
      <c r="E1937" s="8"/>
      <c r="F1937" s="8"/>
      <c r="G1937" s="8"/>
      <c r="H1937" s="8"/>
      <c r="I1937" s="9"/>
      <c r="J1937" s="9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7"/>
      <c r="B1938" s="8"/>
      <c r="C1938" s="8"/>
      <c r="D1938" s="8"/>
      <c r="E1938" s="8"/>
      <c r="F1938" s="8"/>
      <c r="G1938" s="8"/>
      <c r="H1938" s="8"/>
      <c r="I1938" s="9"/>
      <c r="J1938" s="9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7"/>
      <c r="B1939" s="8"/>
      <c r="C1939" s="8"/>
      <c r="D1939" s="8"/>
      <c r="E1939" s="8"/>
      <c r="F1939" s="8"/>
      <c r="G1939" s="8"/>
      <c r="H1939" s="8"/>
      <c r="I1939" s="9"/>
      <c r="J1939" s="9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7"/>
      <c r="B1940" s="8"/>
      <c r="C1940" s="8"/>
      <c r="D1940" s="8"/>
      <c r="E1940" s="8"/>
      <c r="F1940" s="8"/>
      <c r="G1940" s="8"/>
      <c r="H1940" s="8"/>
      <c r="I1940" s="9"/>
      <c r="J1940" s="9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7"/>
      <c r="B1941" s="8"/>
      <c r="C1941" s="8"/>
      <c r="D1941" s="8"/>
      <c r="E1941" s="8"/>
      <c r="F1941" s="8"/>
      <c r="G1941" s="8"/>
      <c r="H1941" s="8"/>
      <c r="I1941" s="9"/>
      <c r="J1941" s="9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7"/>
      <c r="B1942" s="8"/>
      <c r="C1942" s="8"/>
      <c r="D1942" s="8"/>
      <c r="E1942" s="8"/>
      <c r="F1942" s="8"/>
      <c r="G1942" s="8"/>
      <c r="H1942" s="8"/>
      <c r="I1942" s="9"/>
      <c r="J1942" s="9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7"/>
      <c r="B1943" s="8"/>
      <c r="C1943" s="8"/>
      <c r="D1943" s="8"/>
      <c r="E1943" s="8"/>
      <c r="F1943" s="8"/>
      <c r="G1943" s="8"/>
      <c r="H1943" s="8"/>
      <c r="I1943" s="9"/>
      <c r="J1943" s="9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7"/>
      <c r="B1944" s="8"/>
      <c r="C1944" s="8"/>
      <c r="D1944" s="8"/>
      <c r="E1944" s="8"/>
      <c r="F1944" s="8"/>
      <c r="G1944" s="8"/>
      <c r="H1944" s="8"/>
      <c r="I1944" s="9"/>
      <c r="J1944" s="9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7"/>
      <c r="B1945" s="8"/>
      <c r="C1945" s="8"/>
      <c r="D1945" s="8"/>
      <c r="E1945" s="8"/>
      <c r="F1945" s="8"/>
      <c r="G1945" s="8"/>
      <c r="H1945" s="8"/>
      <c r="I1945" s="9"/>
      <c r="J1945" s="9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7"/>
      <c r="B1946" s="8"/>
      <c r="C1946" s="8"/>
      <c r="D1946" s="8"/>
      <c r="E1946" s="8"/>
      <c r="F1946" s="8"/>
      <c r="G1946" s="8"/>
      <c r="H1946" s="8"/>
      <c r="I1946" s="9"/>
      <c r="J1946" s="9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7"/>
      <c r="B1947" s="8"/>
      <c r="C1947" s="8"/>
      <c r="D1947" s="8"/>
      <c r="E1947" s="8"/>
      <c r="F1947" s="8"/>
      <c r="G1947" s="8"/>
      <c r="H1947" s="8"/>
      <c r="I1947" s="9"/>
      <c r="J1947" s="9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7"/>
      <c r="B1948" s="8"/>
      <c r="C1948" s="8"/>
      <c r="D1948" s="8"/>
      <c r="E1948" s="8"/>
      <c r="F1948" s="8"/>
      <c r="G1948" s="8"/>
      <c r="H1948" s="8"/>
      <c r="I1948" s="9"/>
      <c r="J1948" s="9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7"/>
      <c r="B1949" s="8"/>
      <c r="C1949" s="8"/>
      <c r="D1949" s="8"/>
      <c r="E1949" s="8"/>
      <c r="F1949" s="8"/>
      <c r="G1949" s="8"/>
      <c r="H1949" s="8"/>
      <c r="I1949" s="9"/>
      <c r="J1949" s="9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7"/>
      <c r="B1950" s="8"/>
      <c r="C1950" s="8"/>
      <c r="D1950" s="8"/>
      <c r="E1950" s="8"/>
      <c r="F1950" s="8"/>
      <c r="G1950" s="8"/>
      <c r="H1950" s="8"/>
      <c r="I1950" s="9"/>
      <c r="J1950" s="9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7"/>
      <c r="B1951" s="8"/>
      <c r="C1951" s="8"/>
      <c r="D1951" s="8"/>
      <c r="E1951" s="8"/>
      <c r="F1951" s="8"/>
      <c r="G1951" s="8"/>
      <c r="H1951" s="8"/>
      <c r="I1951" s="9"/>
      <c r="J1951" s="9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7"/>
      <c r="B1952" s="8"/>
      <c r="C1952" s="8"/>
      <c r="D1952" s="8"/>
      <c r="E1952" s="8"/>
      <c r="F1952" s="8"/>
      <c r="G1952" s="8"/>
      <c r="H1952" s="8"/>
      <c r="I1952" s="9"/>
      <c r="J1952" s="9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7"/>
      <c r="B1953" s="8"/>
      <c r="C1953" s="8"/>
      <c r="D1953" s="8"/>
      <c r="E1953" s="8"/>
      <c r="F1953" s="8"/>
      <c r="G1953" s="8"/>
      <c r="H1953" s="8"/>
      <c r="I1953" s="9"/>
      <c r="J1953" s="9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7"/>
      <c r="B1954" s="8"/>
      <c r="C1954" s="8"/>
      <c r="D1954" s="8"/>
      <c r="E1954" s="8"/>
      <c r="F1954" s="8"/>
      <c r="G1954" s="8"/>
      <c r="H1954" s="8"/>
      <c r="I1954" s="9"/>
      <c r="J1954" s="9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7"/>
      <c r="B1955" s="8"/>
      <c r="C1955" s="8"/>
      <c r="D1955" s="8"/>
      <c r="E1955" s="8"/>
      <c r="F1955" s="8"/>
      <c r="G1955" s="8"/>
      <c r="H1955" s="8"/>
      <c r="I1955" s="9"/>
      <c r="J1955" s="9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7"/>
      <c r="B1956" s="8"/>
      <c r="C1956" s="8"/>
      <c r="D1956" s="8"/>
      <c r="E1956" s="8"/>
      <c r="F1956" s="8"/>
      <c r="G1956" s="8"/>
      <c r="H1956" s="8"/>
      <c r="I1956" s="9"/>
      <c r="J1956" s="9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7"/>
      <c r="B1957" s="8"/>
      <c r="C1957" s="8"/>
      <c r="D1957" s="8"/>
      <c r="E1957" s="8"/>
      <c r="F1957" s="8"/>
      <c r="G1957" s="8"/>
      <c r="H1957" s="8"/>
      <c r="I1957" s="9"/>
      <c r="J1957" s="9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7"/>
      <c r="B1958" s="8"/>
      <c r="C1958" s="8"/>
      <c r="D1958" s="8"/>
      <c r="E1958" s="8"/>
      <c r="F1958" s="8"/>
      <c r="G1958" s="8"/>
      <c r="H1958" s="8"/>
      <c r="I1958" s="9"/>
      <c r="J1958" s="9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7"/>
      <c r="B1959" s="8"/>
      <c r="C1959" s="8"/>
      <c r="D1959" s="8"/>
      <c r="E1959" s="8"/>
      <c r="F1959" s="8"/>
      <c r="G1959" s="8"/>
      <c r="H1959" s="8"/>
      <c r="I1959" s="9"/>
      <c r="J1959" s="9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7"/>
      <c r="B1960" s="8"/>
      <c r="C1960" s="8"/>
      <c r="D1960" s="8"/>
      <c r="E1960" s="8"/>
      <c r="F1960" s="8"/>
      <c r="G1960" s="8"/>
      <c r="H1960" s="8"/>
      <c r="I1960" s="9"/>
      <c r="J1960" s="9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7"/>
      <c r="B1961" s="8"/>
      <c r="C1961" s="8"/>
      <c r="D1961" s="8"/>
      <c r="E1961" s="8"/>
      <c r="F1961" s="8"/>
      <c r="G1961" s="8"/>
      <c r="H1961" s="8"/>
      <c r="I1961" s="9"/>
      <c r="J1961" s="9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7"/>
      <c r="B1962" s="8"/>
      <c r="C1962" s="8"/>
      <c r="D1962" s="8"/>
      <c r="E1962" s="8"/>
      <c r="F1962" s="8"/>
      <c r="G1962" s="8"/>
      <c r="H1962" s="8"/>
      <c r="I1962" s="9"/>
      <c r="J1962" s="9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7"/>
      <c r="B1963" s="8"/>
      <c r="C1963" s="8"/>
      <c r="D1963" s="8"/>
      <c r="E1963" s="8"/>
      <c r="F1963" s="8"/>
      <c r="G1963" s="8"/>
      <c r="H1963" s="8"/>
      <c r="I1963" s="9"/>
      <c r="J1963" s="9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7"/>
      <c r="B1964" s="8"/>
      <c r="C1964" s="8"/>
      <c r="D1964" s="8"/>
      <c r="E1964" s="8"/>
      <c r="F1964" s="8"/>
      <c r="G1964" s="8"/>
      <c r="H1964" s="8"/>
      <c r="I1964" s="9"/>
      <c r="J1964" s="9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7"/>
      <c r="B1965" s="8"/>
      <c r="C1965" s="8"/>
      <c r="D1965" s="8"/>
      <c r="E1965" s="8"/>
      <c r="F1965" s="8"/>
      <c r="G1965" s="8"/>
      <c r="H1965" s="8"/>
      <c r="I1965" s="9"/>
      <c r="J1965" s="9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7"/>
      <c r="B1966" s="8"/>
      <c r="C1966" s="8"/>
      <c r="D1966" s="8"/>
      <c r="E1966" s="8"/>
      <c r="F1966" s="8"/>
      <c r="G1966" s="8"/>
      <c r="H1966" s="8"/>
      <c r="I1966" s="9"/>
      <c r="J1966" s="9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7"/>
      <c r="B1967" s="8"/>
      <c r="C1967" s="8"/>
      <c r="D1967" s="8"/>
      <c r="E1967" s="8"/>
      <c r="F1967" s="8"/>
      <c r="G1967" s="8"/>
      <c r="H1967" s="8"/>
      <c r="I1967" s="9"/>
      <c r="J1967" s="9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7"/>
      <c r="B1968" s="8"/>
      <c r="C1968" s="8"/>
      <c r="D1968" s="8"/>
      <c r="E1968" s="8"/>
      <c r="F1968" s="8"/>
      <c r="G1968" s="8"/>
      <c r="H1968" s="8"/>
      <c r="I1968" s="9"/>
      <c r="J1968" s="9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7"/>
      <c r="B1969" s="8"/>
      <c r="C1969" s="8"/>
      <c r="D1969" s="8"/>
      <c r="E1969" s="8"/>
      <c r="F1969" s="8"/>
      <c r="G1969" s="8"/>
      <c r="H1969" s="8"/>
      <c r="I1969" s="9"/>
      <c r="J1969" s="9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7"/>
      <c r="B1970" s="8"/>
      <c r="C1970" s="8"/>
      <c r="D1970" s="8"/>
      <c r="E1970" s="8"/>
      <c r="F1970" s="8"/>
      <c r="G1970" s="8"/>
      <c r="H1970" s="8"/>
      <c r="I1970" s="9"/>
      <c r="J1970" s="9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7"/>
      <c r="B1971" s="8"/>
      <c r="C1971" s="8"/>
      <c r="D1971" s="8"/>
      <c r="E1971" s="8"/>
      <c r="F1971" s="8"/>
      <c r="G1971" s="8"/>
      <c r="H1971" s="8"/>
      <c r="I1971" s="9"/>
      <c r="J1971" s="9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7"/>
      <c r="B1972" s="8"/>
      <c r="C1972" s="8"/>
      <c r="D1972" s="8"/>
      <c r="E1972" s="8"/>
      <c r="F1972" s="8"/>
      <c r="G1972" s="8"/>
      <c r="H1972" s="8"/>
      <c r="I1972" s="9"/>
      <c r="J1972" s="9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7"/>
      <c r="B1973" s="8"/>
      <c r="C1973" s="8"/>
      <c r="D1973" s="8"/>
      <c r="E1973" s="8"/>
      <c r="F1973" s="8"/>
      <c r="G1973" s="8"/>
      <c r="H1973" s="8"/>
      <c r="I1973" s="9"/>
      <c r="J1973" s="9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7"/>
      <c r="B1974" s="8"/>
      <c r="C1974" s="8"/>
      <c r="D1974" s="8"/>
      <c r="E1974" s="8"/>
      <c r="F1974" s="8"/>
      <c r="G1974" s="8"/>
      <c r="H1974" s="8"/>
      <c r="I1974" s="9"/>
      <c r="J1974" s="9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7"/>
      <c r="B1975" s="8"/>
      <c r="C1975" s="8"/>
      <c r="D1975" s="8"/>
      <c r="E1975" s="8"/>
      <c r="F1975" s="8"/>
      <c r="G1975" s="8"/>
      <c r="H1975" s="8"/>
      <c r="I1975" s="9"/>
      <c r="J1975" s="9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7"/>
      <c r="B1976" s="8"/>
      <c r="C1976" s="8"/>
      <c r="D1976" s="8"/>
      <c r="E1976" s="8"/>
      <c r="F1976" s="8"/>
      <c r="G1976" s="8"/>
      <c r="H1976" s="8"/>
      <c r="I1976" s="9"/>
      <c r="J1976" s="9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7"/>
      <c r="B1977" s="8"/>
      <c r="C1977" s="8"/>
      <c r="D1977" s="8"/>
      <c r="E1977" s="8"/>
      <c r="F1977" s="8"/>
      <c r="G1977" s="8"/>
      <c r="H1977" s="8"/>
      <c r="I1977" s="9"/>
      <c r="J1977" s="9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7"/>
      <c r="B1978" s="8"/>
      <c r="C1978" s="8"/>
      <c r="D1978" s="8"/>
      <c r="E1978" s="8"/>
      <c r="F1978" s="8"/>
      <c r="G1978" s="8"/>
      <c r="H1978" s="8"/>
      <c r="I1978" s="9"/>
      <c r="J1978" s="9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7"/>
      <c r="B1979" s="8"/>
      <c r="C1979" s="8"/>
      <c r="D1979" s="8"/>
      <c r="E1979" s="8"/>
      <c r="F1979" s="8"/>
      <c r="G1979" s="8"/>
      <c r="H1979" s="8"/>
      <c r="I1979" s="9"/>
      <c r="J1979" s="9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7"/>
      <c r="B1980" s="8"/>
      <c r="C1980" s="8"/>
      <c r="D1980" s="8"/>
      <c r="E1980" s="8"/>
      <c r="F1980" s="8"/>
      <c r="G1980" s="8"/>
      <c r="H1980" s="8"/>
      <c r="I1980" s="9"/>
      <c r="J1980" s="9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7"/>
      <c r="B1981" s="8"/>
      <c r="C1981" s="8"/>
      <c r="D1981" s="8"/>
      <c r="E1981" s="8"/>
      <c r="F1981" s="8"/>
      <c r="G1981" s="8"/>
      <c r="H1981" s="8"/>
      <c r="I1981" s="9"/>
      <c r="J1981" s="9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7"/>
      <c r="B1982" s="8"/>
      <c r="C1982" s="8"/>
      <c r="D1982" s="8"/>
      <c r="E1982" s="8"/>
      <c r="F1982" s="8"/>
      <c r="G1982" s="8"/>
      <c r="H1982" s="8"/>
      <c r="I1982" s="9"/>
      <c r="J1982" s="9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7"/>
      <c r="B1983" s="8"/>
      <c r="C1983" s="8"/>
      <c r="D1983" s="8"/>
      <c r="E1983" s="8"/>
      <c r="F1983" s="8"/>
      <c r="G1983" s="8"/>
      <c r="H1983" s="8"/>
      <c r="I1983" s="9"/>
      <c r="J1983" s="9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7"/>
      <c r="B1984" s="8"/>
      <c r="C1984" s="8"/>
      <c r="D1984" s="8"/>
      <c r="E1984" s="8"/>
      <c r="F1984" s="8"/>
      <c r="G1984" s="8"/>
      <c r="H1984" s="8"/>
      <c r="I1984" s="9"/>
      <c r="J1984" s="9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7"/>
      <c r="B1985" s="8"/>
      <c r="C1985" s="8"/>
      <c r="D1985" s="8"/>
      <c r="E1985" s="8"/>
      <c r="F1985" s="8"/>
      <c r="G1985" s="8"/>
      <c r="H1985" s="8"/>
      <c r="I1985" s="9"/>
      <c r="J1985" s="9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7"/>
      <c r="B1986" s="8"/>
      <c r="C1986" s="8"/>
      <c r="D1986" s="8"/>
      <c r="E1986" s="8"/>
      <c r="F1986" s="8"/>
      <c r="G1986" s="8"/>
      <c r="H1986" s="8"/>
      <c r="I1986" s="9"/>
      <c r="J1986" s="9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7"/>
      <c r="B1987" s="8"/>
      <c r="C1987" s="8"/>
      <c r="D1987" s="8"/>
      <c r="E1987" s="8"/>
      <c r="F1987" s="8"/>
      <c r="G1987" s="8"/>
      <c r="H1987" s="8"/>
      <c r="I1987" s="9"/>
      <c r="J1987" s="9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7"/>
      <c r="B1988" s="8"/>
      <c r="C1988" s="8"/>
      <c r="D1988" s="8"/>
      <c r="E1988" s="8"/>
      <c r="F1988" s="8"/>
      <c r="G1988" s="8"/>
      <c r="H1988" s="8"/>
      <c r="I1988" s="9"/>
      <c r="J1988" s="9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7"/>
      <c r="B1989" s="8"/>
      <c r="C1989" s="8"/>
      <c r="D1989" s="8"/>
      <c r="E1989" s="8"/>
      <c r="F1989" s="8"/>
      <c r="G1989" s="8"/>
      <c r="H1989" s="8"/>
      <c r="I1989" s="9"/>
      <c r="J1989" s="9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7"/>
      <c r="B1990" s="8"/>
      <c r="C1990" s="8"/>
      <c r="D1990" s="8"/>
      <c r="E1990" s="8"/>
      <c r="F1990" s="8"/>
      <c r="G1990" s="8"/>
      <c r="H1990" s="8"/>
      <c r="I1990" s="9"/>
      <c r="J1990" s="9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7"/>
      <c r="B1991" s="8"/>
      <c r="C1991" s="8"/>
      <c r="D1991" s="8"/>
      <c r="E1991" s="8"/>
      <c r="F1991" s="8"/>
      <c r="G1991" s="8"/>
      <c r="H1991" s="8"/>
      <c r="I1991" s="9"/>
      <c r="J1991" s="9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7"/>
      <c r="B1992" s="8"/>
      <c r="C1992" s="8"/>
      <c r="D1992" s="8"/>
      <c r="E1992" s="8"/>
      <c r="F1992" s="8"/>
      <c r="G1992" s="8"/>
      <c r="H1992" s="8"/>
      <c r="I1992" s="9"/>
      <c r="J1992" s="9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7"/>
      <c r="B1993" s="8"/>
      <c r="C1993" s="8"/>
      <c r="D1993" s="8"/>
      <c r="E1993" s="8"/>
      <c r="F1993" s="8"/>
      <c r="G1993" s="8"/>
      <c r="H1993" s="8"/>
      <c r="I1993" s="9"/>
      <c r="J1993" s="9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7"/>
      <c r="B1994" s="8"/>
      <c r="C1994" s="8"/>
      <c r="D1994" s="8"/>
      <c r="E1994" s="8"/>
      <c r="F1994" s="8"/>
      <c r="G1994" s="8"/>
      <c r="H1994" s="8"/>
      <c r="I1994" s="9"/>
      <c r="J1994" s="9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7"/>
      <c r="B1995" s="8"/>
      <c r="C1995" s="8"/>
      <c r="D1995" s="8"/>
      <c r="E1995" s="8"/>
      <c r="F1995" s="8"/>
      <c r="G1995" s="8"/>
      <c r="H1995" s="8"/>
      <c r="I1995" s="9"/>
      <c r="J1995" s="9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7"/>
      <c r="B1996" s="8"/>
      <c r="C1996" s="8"/>
      <c r="D1996" s="8"/>
      <c r="E1996" s="8"/>
      <c r="F1996" s="8"/>
      <c r="G1996" s="8"/>
      <c r="H1996" s="8"/>
      <c r="I1996" s="9"/>
      <c r="J1996" s="9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7"/>
      <c r="B1997" s="8"/>
      <c r="C1997" s="8"/>
      <c r="D1997" s="8"/>
      <c r="E1997" s="8"/>
      <c r="F1997" s="8"/>
      <c r="G1997" s="8"/>
      <c r="H1997" s="8"/>
      <c r="I1997" s="9"/>
      <c r="J1997" s="9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7"/>
      <c r="B1998" s="8"/>
      <c r="C1998" s="8"/>
      <c r="D1998" s="8"/>
      <c r="E1998" s="8"/>
      <c r="F1998" s="8"/>
      <c r="G1998" s="8"/>
      <c r="H1998" s="8"/>
      <c r="I1998" s="9"/>
      <c r="J1998" s="9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7"/>
      <c r="B1999" s="8"/>
      <c r="C1999" s="8"/>
      <c r="D1999" s="8"/>
      <c r="E1999" s="8"/>
      <c r="F1999" s="8"/>
      <c r="G1999" s="8"/>
      <c r="H1999" s="8"/>
      <c r="I1999" s="9"/>
      <c r="J1999" s="9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7"/>
      <c r="B2000" s="8"/>
      <c r="C2000" s="8"/>
      <c r="D2000" s="8"/>
      <c r="E2000" s="8"/>
      <c r="F2000" s="8"/>
      <c r="G2000" s="8"/>
      <c r="H2000" s="8"/>
      <c r="I2000" s="9"/>
      <c r="J2000" s="9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7"/>
      <c r="B2001" s="8"/>
      <c r="C2001" s="8"/>
      <c r="D2001" s="8"/>
      <c r="E2001" s="8"/>
      <c r="F2001" s="8"/>
      <c r="G2001" s="8"/>
      <c r="H2001" s="8"/>
      <c r="I2001" s="9"/>
      <c r="J2001" s="9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7"/>
      <c r="B2002" s="8"/>
      <c r="C2002" s="8"/>
      <c r="D2002" s="8"/>
      <c r="E2002" s="8"/>
      <c r="F2002" s="8"/>
      <c r="G2002" s="8"/>
      <c r="H2002" s="8"/>
      <c r="I2002" s="9"/>
      <c r="J2002" s="9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7"/>
      <c r="B2003" s="8"/>
      <c r="C2003" s="8"/>
      <c r="D2003" s="8"/>
      <c r="E2003" s="8"/>
      <c r="F2003" s="8"/>
      <c r="G2003" s="8"/>
      <c r="H2003" s="8"/>
      <c r="I2003" s="9"/>
      <c r="J2003" s="9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7"/>
      <c r="B2004" s="8"/>
      <c r="C2004" s="8"/>
      <c r="D2004" s="8"/>
      <c r="E2004" s="8"/>
      <c r="F2004" s="8"/>
      <c r="G2004" s="8"/>
      <c r="H2004" s="8"/>
      <c r="I2004" s="9"/>
      <c r="J2004" s="9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7"/>
      <c r="B2005" s="8"/>
      <c r="C2005" s="8"/>
      <c r="D2005" s="8"/>
      <c r="E2005" s="8"/>
      <c r="F2005" s="8"/>
      <c r="G2005" s="8"/>
      <c r="H2005" s="8"/>
      <c r="I2005" s="9"/>
      <c r="J2005" s="9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7"/>
      <c r="B2006" s="8"/>
      <c r="C2006" s="8"/>
      <c r="D2006" s="8"/>
      <c r="E2006" s="8"/>
      <c r="F2006" s="8"/>
      <c r="G2006" s="8"/>
      <c r="H2006" s="8"/>
      <c r="I2006" s="9"/>
      <c r="J2006" s="9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7"/>
      <c r="B2007" s="8"/>
      <c r="C2007" s="8"/>
      <c r="D2007" s="8"/>
      <c r="E2007" s="8"/>
      <c r="F2007" s="8"/>
      <c r="G2007" s="8"/>
      <c r="H2007" s="8"/>
      <c r="I2007" s="9"/>
      <c r="J2007" s="9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7"/>
      <c r="B2008" s="8"/>
      <c r="C2008" s="8"/>
      <c r="D2008" s="8"/>
      <c r="E2008" s="8"/>
      <c r="F2008" s="8"/>
      <c r="G2008" s="8"/>
      <c r="H2008" s="8"/>
      <c r="I2008" s="9"/>
      <c r="J2008" s="9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7"/>
      <c r="B2009" s="8"/>
      <c r="C2009" s="8"/>
      <c r="D2009" s="8"/>
      <c r="E2009" s="8"/>
      <c r="F2009" s="8"/>
      <c r="G2009" s="8"/>
      <c r="H2009" s="8"/>
      <c r="I2009" s="9"/>
      <c r="J2009" s="9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7"/>
      <c r="B2010" s="8"/>
      <c r="C2010" s="8"/>
      <c r="D2010" s="8"/>
      <c r="E2010" s="8"/>
      <c r="F2010" s="8"/>
      <c r="G2010" s="8"/>
      <c r="H2010" s="8"/>
      <c r="I2010" s="9"/>
      <c r="J2010" s="9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7"/>
      <c r="B2011" s="8"/>
      <c r="C2011" s="8"/>
      <c r="D2011" s="8"/>
      <c r="E2011" s="8"/>
      <c r="F2011" s="8"/>
      <c r="G2011" s="8"/>
      <c r="H2011" s="8"/>
      <c r="I2011" s="9"/>
      <c r="J2011" s="9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7"/>
      <c r="B2012" s="8"/>
      <c r="C2012" s="8"/>
      <c r="D2012" s="8"/>
      <c r="E2012" s="8"/>
      <c r="F2012" s="8"/>
      <c r="G2012" s="8"/>
      <c r="H2012" s="8"/>
      <c r="I2012" s="9"/>
      <c r="J2012" s="9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7"/>
      <c r="B2013" s="8"/>
      <c r="C2013" s="8"/>
      <c r="D2013" s="8"/>
      <c r="E2013" s="8"/>
      <c r="F2013" s="8"/>
      <c r="G2013" s="8"/>
      <c r="H2013" s="8"/>
      <c r="I2013" s="9"/>
      <c r="J2013" s="9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7"/>
      <c r="B2014" s="8"/>
      <c r="C2014" s="8"/>
      <c r="D2014" s="8"/>
      <c r="E2014" s="8"/>
      <c r="F2014" s="8"/>
      <c r="G2014" s="8"/>
      <c r="H2014" s="8"/>
      <c r="I2014" s="9"/>
      <c r="J2014" s="9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7"/>
      <c r="B2015" s="8"/>
      <c r="C2015" s="8"/>
      <c r="D2015" s="8"/>
      <c r="E2015" s="8"/>
      <c r="F2015" s="8"/>
      <c r="G2015" s="8"/>
      <c r="H2015" s="8"/>
      <c r="I2015" s="9"/>
      <c r="J2015" s="9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7"/>
      <c r="B2016" s="8"/>
      <c r="C2016" s="8"/>
      <c r="D2016" s="8"/>
      <c r="E2016" s="8"/>
      <c r="F2016" s="8"/>
      <c r="G2016" s="8"/>
      <c r="H2016" s="8"/>
      <c r="I2016" s="9"/>
      <c r="J2016" s="9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7"/>
      <c r="B2017" s="8"/>
      <c r="C2017" s="8"/>
      <c r="D2017" s="8"/>
      <c r="E2017" s="8"/>
      <c r="F2017" s="8"/>
      <c r="G2017" s="8"/>
      <c r="H2017" s="8"/>
      <c r="I2017" s="9"/>
      <c r="J2017" s="9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7"/>
      <c r="B2018" s="8"/>
      <c r="C2018" s="8"/>
      <c r="D2018" s="8"/>
      <c r="E2018" s="8"/>
      <c r="F2018" s="8"/>
      <c r="G2018" s="8"/>
      <c r="H2018" s="8"/>
      <c r="I2018" s="9"/>
      <c r="J2018" s="9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7"/>
      <c r="B2019" s="8"/>
      <c r="C2019" s="8"/>
      <c r="D2019" s="8"/>
      <c r="E2019" s="8"/>
      <c r="F2019" s="8"/>
      <c r="G2019" s="8"/>
      <c r="H2019" s="8"/>
      <c r="I2019" s="9"/>
      <c r="J2019" s="9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7"/>
      <c r="B2020" s="8"/>
      <c r="C2020" s="8"/>
      <c r="D2020" s="8"/>
      <c r="E2020" s="8"/>
      <c r="F2020" s="8"/>
      <c r="G2020" s="8"/>
      <c r="H2020" s="8"/>
      <c r="I2020" s="9"/>
      <c r="J2020" s="9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7"/>
      <c r="B2021" s="8"/>
      <c r="C2021" s="8"/>
      <c r="D2021" s="8"/>
      <c r="E2021" s="8"/>
      <c r="F2021" s="8"/>
      <c r="G2021" s="8"/>
      <c r="H2021" s="8"/>
      <c r="I2021" s="9"/>
      <c r="J2021" s="9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7"/>
      <c r="B2022" s="8"/>
      <c r="C2022" s="8"/>
      <c r="D2022" s="8"/>
      <c r="E2022" s="8"/>
      <c r="F2022" s="8"/>
      <c r="G2022" s="8"/>
      <c r="H2022" s="8"/>
      <c r="I2022" s="9"/>
      <c r="J2022" s="9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7"/>
      <c r="B2023" s="8"/>
      <c r="C2023" s="8"/>
      <c r="D2023" s="8"/>
      <c r="E2023" s="8"/>
      <c r="F2023" s="8"/>
      <c r="G2023" s="8"/>
      <c r="H2023" s="8"/>
      <c r="I2023" s="9"/>
      <c r="J2023" s="9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7"/>
      <c r="B2024" s="8"/>
      <c r="C2024" s="8"/>
      <c r="D2024" s="8"/>
      <c r="E2024" s="8"/>
      <c r="F2024" s="8"/>
      <c r="G2024" s="8"/>
      <c r="H2024" s="8"/>
      <c r="I2024" s="9"/>
      <c r="J2024" s="9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7"/>
      <c r="B2025" s="8"/>
      <c r="C2025" s="8"/>
      <c r="D2025" s="8"/>
      <c r="E2025" s="8"/>
      <c r="F2025" s="8"/>
      <c r="G2025" s="8"/>
      <c r="H2025" s="8"/>
      <c r="I2025" s="9"/>
      <c r="J2025" s="9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7"/>
      <c r="B2026" s="8"/>
      <c r="C2026" s="8"/>
      <c r="D2026" s="8"/>
      <c r="E2026" s="8"/>
      <c r="F2026" s="8"/>
      <c r="G2026" s="8"/>
      <c r="H2026" s="8"/>
      <c r="I2026" s="9"/>
      <c r="J2026" s="9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7"/>
      <c r="B2027" s="8"/>
      <c r="C2027" s="8"/>
      <c r="D2027" s="8"/>
      <c r="E2027" s="8"/>
      <c r="F2027" s="8"/>
      <c r="G2027" s="8"/>
      <c r="H2027" s="8"/>
      <c r="I2027" s="9"/>
      <c r="J2027" s="9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7"/>
      <c r="B2028" s="8"/>
      <c r="C2028" s="8"/>
      <c r="D2028" s="8"/>
      <c r="E2028" s="8"/>
      <c r="F2028" s="8"/>
      <c r="G2028" s="8"/>
      <c r="H2028" s="8"/>
      <c r="I2028" s="9"/>
      <c r="J2028" s="9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7"/>
      <c r="B2029" s="8"/>
      <c r="C2029" s="8"/>
      <c r="D2029" s="8"/>
      <c r="E2029" s="8"/>
      <c r="F2029" s="8"/>
      <c r="G2029" s="8"/>
      <c r="H2029" s="8"/>
      <c r="I2029" s="9"/>
      <c r="J2029" s="9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7"/>
      <c r="B2030" s="8"/>
      <c r="C2030" s="8"/>
      <c r="D2030" s="8"/>
      <c r="E2030" s="8"/>
      <c r="F2030" s="8"/>
      <c r="G2030" s="8"/>
      <c r="H2030" s="8"/>
      <c r="I2030" s="9"/>
      <c r="J2030" s="9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7"/>
      <c r="B2031" s="8"/>
      <c r="C2031" s="8"/>
      <c r="D2031" s="8"/>
      <c r="E2031" s="8"/>
      <c r="F2031" s="8"/>
      <c r="G2031" s="8"/>
      <c r="H2031" s="8"/>
      <c r="I2031" s="9"/>
      <c r="J2031" s="9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7"/>
      <c r="B2032" s="8"/>
      <c r="C2032" s="8"/>
      <c r="D2032" s="8"/>
      <c r="E2032" s="8"/>
      <c r="F2032" s="8"/>
      <c r="G2032" s="8"/>
      <c r="H2032" s="8"/>
      <c r="I2032" s="9"/>
      <c r="J2032" s="9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7"/>
      <c r="B2033" s="8"/>
      <c r="C2033" s="8"/>
      <c r="D2033" s="8"/>
      <c r="E2033" s="8"/>
      <c r="F2033" s="8"/>
      <c r="G2033" s="8"/>
      <c r="H2033" s="8"/>
      <c r="I2033" s="9"/>
      <c r="J2033" s="9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7"/>
      <c r="B2034" s="8"/>
      <c r="C2034" s="8"/>
      <c r="D2034" s="8"/>
      <c r="E2034" s="8"/>
      <c r="F2034" s="8"/>
      <c r="G2034" s="8"/>
      <c r="H2034" s="8"/>
      <c r="I2034" s="9"/>
      <c r="J2034" s="9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7"/>
      <c r="B2035" s="8"/>
      <c r="C2035" s="8"/>
      <c r="D2035" s="8"/>
      <c r="E2035" s="8"/>
      <c r="F2035" s="8"/>
      <c r="G2035" s="8"/>
      <c r="H2035" s="8"/>
      <c r="I2035" s="9"/>
      <c r="J2035" s="9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7"/>
      <c r="B2036" s="8"/>
      <c r="C2036" s="8"/>
      <c r="D2036" s="8"/>
      <c r="E2036" s="8"/>
      <c r="F2036" s="8"/>
      <c r="G2036" s="8"/>
      <c r="H2036" s="8"/>
      <c r="I2036" s="9"/>
      <c r="J2036" s="9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7"/>
      <c r="B2037" s="8"/>
      <c r="C2037" s="8"/>
      <c r="D2037" s="8"/>
      <c r="E2037" s="8"/>
      <c r="F2037" s="8"/>
      <c r="G2037" s="8"/>
      <c r="H2037" s="8"/>
      <c r="I2037" s="9"/>
      <c r="J2037" s="9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7"/>
      <c r="B2038" s="8"/>
      <c r="C2038" s="8"/>
      <c r="D2038" s="8"/>
      <c r="E2038" s="8"/>
      <c r="F2038" s="8"/>
      <c r="G2038" s="8"/>
      <c r="H2038" s="8"/>
      <c r="I2038" s="9"/>
      <c r="J2038" s="9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7"/>
      <c r="B2039" s="8"/>
      <c r="C2039" s="8"/>
      <c r="D2039" s="8"/>
      <c r="E2039" s="8"/>
      <c r="F2039" s="8"/>
      <c r="G2039" s="8"/>
      <c r="H2039" s="8"/>
      <c r="I2039" s="9"/>
      <c r="J2039" s="9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7"/>
      <c r="B2040" s="8"/>
      <c r="C2040" s="8"/>
      <c r="D2040" s="8"/>
      <c r="E2040" s="8"/>
      <c r="F2040" s="8"/>
      <c r="G2040" s="8"/>
      <c r="H2040" s="8"/>
      <c r="I2040" s="9"/>
      <c r="J2040" s="9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7"/>
      <c r="B2041" s="8"/>
      <c r="C2041" s="8"/>
      <c r="D2041" s="8"/>
      <c r="E2041" s="8"/>
      <c r="F2041" s="8"/>
      <c r="G2041" s="8"/>
      <c r="H2041" s="8"/>
      <c r="I2041" s="9"/>
      <c r="J2041" s="9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7"/>
      <c r="B2042" s="8"/>
      <c r="C2042" s="8"/>
      <c r="D2042" s="8"/>
      <c r="E2042" s="8"/>
      <c r="F2042" s="8"/>
      <c r="G2042" s="8"/>
      <c r="H2042" s="8"/>
      <c r="I2042" s="9"/>
      <c r="J2042" s="9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7"/>
      <c r="B2043" s="8"/>
      <c r="C2043" s="8"/>
      <c r="D2043" s="8"/>
      <c r="E2043" s="8"/>
      <c r="F2043" s="8"/>
      <c r="G2043" s="8"/>
      <c r="H2043" s="8"/>
      <c r="I2043" s="9"/>
      <c r="J2043" s="9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7"/>
      <c r="B2044" s="8"/>
      <c r="C2044" s="8"/>
      <c r="D2044" s="8"/>
      <c r="E2044" s="8"/>
      <c r="F2044" s="8"/>
      <c r="G2044" s="8"/>
      <c r="H2044" s="8"/>
      <c r="I2044" s="9"/>
      <c r="J2044" s="9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7"/>
      <c r="B2045" s="8"/>
      <c r="C2045" s="8"/>
      <c r="D2045" s="8"/>
      <c r="E2045" s="8"/>
      <c r="F2045" s="8"/>
      <c r="G2045" s="8"/>
      <c r="H2045" s="8"/>
      <c r="I2045" s="9"/>
      <c r="J2045" s="9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7"/>
      <c r="B2046" s="8"/>
      <c r="C2046" s="8"/>
      <c r="D2046" s="8"/>
      <c r="E2046" s="8"/>
      <c r="F2046" s="8"/>
      <c r="G2046" s="8"/>
      <c r="H2046" s="8"/>
      <c r="I2046" s="9"/>
      <c r="J2046" s="9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7"/>
      <c r="B2047" s="8"/>
      <c r="C2047" s="8"/>
      <c r="D2047" s="8"/>
      <c r="E2047" s="8"/>
      <c r="F2047" s="8"/>
      <c r="G2047" s="8"/>
      <c r="H2047" s="8"/>
      <c r="I2047" s="9"/>
      <c r="J2047" s="9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7"/>
      <c r="B2048" s="8"/>
      <c r="C2048" s="8"/>
      <c r="D2048" s="8"/>
      <c r="E2048" s="8"/>
      <c r="F2048" s="8"/>
      <c r="G2048" s="8"/>
      <c r="H2048" s="8"/>
      <c r="I2048" s="9"/>
      <c r="J2048" s="9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7"/>
      <c r="B2049" s="8"/>
      <c r="C2049" s="8"/>
      <c r="D2049" s="8"/>
      <c r="E2049" s="8"/>
      <c r="F2049" s="8"/>
      <c r="G2049" s="8"/>
      <c r="H2049" s="8"/>
      <c r="I2049" s="9"/>
      <c r="J2049" s="9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7"/>
      <c r="B2050" s="8"/>
      <c r="C2050" s="8"/>
      <c r="D2050" s="8"/>
      <c r="E2050" s="8"/>
      <c r="F2050" s="8"/>
      <c r="G2050" s="8"/>
      <c r="H2050" s="8"/>
      <c r="I2050" s="9"/>
      <c r="J2050" s="9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7"/>
      <c r="B2051" s="8"/>
      <c r="C2051" s="8"/>
      <c r="D2051" s="8"/>
      <c r="E2051" s="8"/>
      <c r="F2051" s="8"/>
      <c r="G2051" s="8"/>
      <c r="H2051" s="8"/>
      <c r="I2051" s="9"/>
      <c r="J2051" s="9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7"/>
      <c r="B2052" s="8"/>
      <c r="C2052" s="8"/>
      <c r="D2052" s="8"/>
      <c r="E2052" s="8"/>
      <c r="F2052" s="8"/>
      <c r="G2052" s="8"/>
      <c r="H2052" s="8"/>
      <c r="I2052" s="9"/>
      <c r="J2052" s="9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7"/>
      <c r="B2053" s="8"/>
      <c r="C2053" s="8"/>
      <c r="D2053" s="8"/>
      <c r="E2053" s="8"/>
      <c r="F2053" s="8"/>
      <c r="G2053" s="8"/>
      <c r="H2053" s="8"/>
      <c r="I2053" s="9"/>
      <c r="J2053" s="9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7"/>
      <c r="B2054" s="8"/>
      <c r="C2054" s="8"/>
      <c r="D2054" s="8"/>
      <c r="E2054" s="8"/>
      <c r="F2054" s="8"/>
      <c r="G2054" s="8"/>
      <c r="H2054" s="8"/>
      <c r="I2054" s="9"/>
      <c r="J2054" s="9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7"/>
      <c r="B2055" s="8"/>
      <c r="C2055" s="8"/>
      <c r="D2055" s="8"/>
      <c r="E2055" s="8"/>
      <c r="F2055" s="8"/>
      <c r="G2055" s="8"/>
      <c r="H2055" s="8"/>
      <c r="I2055" s="9"/>
      <c r="J2055" s="9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7"/>
      <c r="B2056" s="8"/>
      <c r="C2056" s="8"/>
      <c r="D2056" s="8"/>
      <c r="E2056" s="8"/>
      <c r="F2056" s="8"/>
      <c r="G2056" s="8"/>
      <c r="H2056" s="8"/>
      <c r="I2056" s="9"/>
      <c r="J2056" s="9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7"/>
      <c r="B2057" s="8"/>
      <c r="C2057" s="8"/>
      <c r="D2057" s="8"/>
      <c r="E2057" s="8"/>
      <c r="F2057" s="8"/>
      <c r="G2057" s="8"/>
      <c r="H2057" s="8"/>
      <c r="I2057" s="9"/>
      <c r="J2057" s="9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7"/>
      <c r="B2058" s="8"/>
      <c r="C2058" s="8"/>
      <c r="D2058" s="8"/>
      <c r="E2058" s="8"/>
      <c r="F2058" s="8"/>
      <c r="G2058" s="8"/>
      <c r="H2058" s="8"/>
      <c r="I2058" s="9"/>
      <c r="J2058" s="9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7"/>
      <c r="B2059" s="8"/>
      <c r="C2059" s="8"/>
      <c r="D2059" s="8"/>
      <c r="E2059" s="8"/>
      <c r="F2059" s="8"/>
      <c r="G2059" s="8"/>
      <c r="H2059" s="8"/>
      <c r="I2059" s="9"/>
      <c r="J2059" s="9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7"/>
      <c r="B2060" s="8"/>
      <c r="C2060" s="8"/>
      <c r="D2060" s="8"/>
      <c r="E2060" s="8"/>
      <c r="F2060" s="8"/>
      <c r="G2060" s="8"/>
      <c r="H2060" s="8"/>
      <c r="I2060" s="9"/>
      <c r="J2060" s="9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7"/>
      <c r="B2061" s="8"/>
      <c r="C2061" s="8"/>
      <c r="D2061" s="8"/>
      <c r="E2061" s="8"/>
      <c r="F2061" s="8"/>
      <c r="G2061" s="8"/>
      <c r="H2061" s="8"/>
      <c r="I2061" s="9"/>
      <c r="J2061" s="9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7"/>
      <c r="B2062" s="8"/>
      <c r="C2062" s="8"/>
      <c r="D2062" s="8"/>
      <c r="E2062" s="8"/>
      <c r="F2062" s="8"/>
      <c r="G2062" s="8"/>
      <c r="H2062" s="8"/>
      <c r="I2062" s="9"/>
      <c r="J2062" s="9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7"/>
      <c r="B2063" s="8"/>
      <c r="C2063" s="8"/>
      <c r="D2063" s="8"/>
      <c r="E2063" s="8"/>
      <c r="F2063" s="8"/>
      <c r="G2063" s="8"/>
      <c r="H2063" s="8"/>
      <c r="I2063" s="9"/>
      <c r="J2063" s="9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7"/>
      <c r="B2064" s="8"/>
      <c r="C2064" s="8"/>
      <c r="D2064" s="8"/>
      <c r="E2064" s="8"/>
      <c r="F2064" s="8"/>
      <c r="G2064" s="8"/>
      <c r="H2064" s="8"/>
      <c r="I2064" s="9"/>
      <c r="J2064" s="9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7"/>
      <c r="B2065" s="8"/>
      <c r="C2065" s="8"/>
      <c r="D2065" s="8"/>
      <c r="E2065" s="8"/>
      <c r="F2065" s="8"/>
      <c r="G2065" s="8"/>
      <c r="H2065" s="8"/>
      <c r="I2065" s="9"/>
      <c r="J2065" s="9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7"/>
      <c r="B2066" s="8"/>
      <c r="C2066" s="8"/>
      <c r="D2066" s="8"/>
      <c r="E2066" s="8"/>
      <c r="F2066" s="8"/>
      <c r="G2066" s="8"/>
      <c r="H2066" s="8"/>
      <c r="I2066" s="9"/>
      <c r="J2066" s="9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7"/>
      <c r="B2067" s="8"/>
      <c r="C2067" s="8"/>
      <c r="D2067" s="8"/>
      <c r="E2067" s="8"/>
      <c r="F2067" s="8"/>
      <c r="G2067" s="8"/>
      <c r="H2067" s="8"/>
      <c r="I2067" s="9"/>
      <c r="J2067" s="9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7"/>
      <c r="B2068" s="8"/>
      <c r="C2068" s="8"/>
      <c r="D2068" s="8"/>
      <c r="E2068" s="8"/>
      <c r="F2068" s="8"/>
      <c r="G2068" s="8"/>
      <c r="H2068" s="8"/>
      <c r="I2068" s="9"/>
      <c r="J2068" s="9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7"/>
      <c r="B2069" s="8"/>
      <c r="C2069" s="8"/>
      <c r="D2069" s="8"/>
      <c r="E2069" s="8"/>
      <c r="F2069" s="8"/>
      <c r="G2069" s="8"/>
      <c r="H2069" s="8"/>
      <c r="I2069" s="9"/>
      <c r="J2069" s="9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7"/>
      <c r="B2070" s="8"/>
      <c r="C2070" s="8"/>
      <c r="D2070" s="8"/>
      <c r="E2070" s="8"/>
      <c r="F2070" s="8"/>
      <c r="G2070" s="8"/>
      <c r="H2070" s="8"/>
      <c r="I2070" s="9"/>
      <c r="J2070" s="9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7"/>
      <c r="B2071" s="8"/>
      <c r="C2071" s="8"/>
      <c r="D2071" s="8"/>
      <c r="E2071" s="8"/>
      <c r="F2071" s="8"/>
      <c r="G2071" s="8"/>
      <c r="H2071" s="8"/>
      <c r="I2071" s="9"/>
      <c r="J2071" s="9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7"/>
      <c r="B2072" s="8"/>
      <c r="C2072" s="8"/>
      <c r="D2072" s="8"/>
      <c r="E2072" s="8"/>
      <c r="F2072" s="8"/>
      <c r="G2072" s="8"/>
      <c r="H2072" s="8"/>
      <c r="I2072" s="9"/>
      <c r="J2072" s="9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7"/>
      <c r="B2073" s="8"/>
      <c r="C2073" s="8"/>
      <c r="D2073" s="8"/>
      <c r="E2073" s="8"/>
      <c r="F2073" s="8"/>
      <c r="G2073" s="8"/>
      <c r="H2073" s="8"/>
      <c r="I2073" s="9"/>
      <c r="J2073" s="9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7"/>
      <c r="B2074" s="8"/>
      <c r="C2074" s="8"/>
      <c r="D2074" s="8"/>
      <c r="E2074" s="8"/>
      <c r="F2074" s="8"/>
      <c r="G2074" s="8"/>
      <c r="H2074" s="8"/>
      <c r="I2074" s="9"/>
      <c r="J2074" s="9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7"/>
      <c r="B2075" s="8"/>
      <c r="C2075" s="8"/>
      <c r="D2075" s="8"/>
      <c r="E2075" s="8"/>
      <c r="F2075" s="8"/>
      <c r="G2075" s="8"/>
      <c r="H2075" s="8"/>
      <c r="I2075" s="9"/>
      <c r="J2075" s="9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7"/>
      <c r="B2076" s="8"/>
      <c r="C2076" s="8"/>
      <c r="D2076" s="8"/>
      <c r="E2076" s="8"/>
      <c r="F2076" s="8"/>
      <c r="G2076" s="8"/>
      <c r="H2076" s="8"/>
      <c r="I2076" s="9"/>
      <c r="J2076" s="9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7"/>
      <c r="B2077" s="8"/>
      <c r="C2077" s="8"/>
      <c r="D2077" s="8"/>
      <c r="E2077" s="8"/>
      <c r="F2077" s="8"/>
      <c r="G2077" s="8"/>
      <c r="H2077" s="8"/>
      <c r="I2077" s="9"/>
      <c r="J2077" s="9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7"/>
      <c r="B2078" s="8"/>
      <c r="C2078" s="8"/>
      <c r="D2078" s="8"/>
      <c r="E2078" s="8"/>
      <c r="F2078" s="8"/>
      <c r="G2078" s="8"/>
      <c r="H2078" s="8"/>
      <c r="I2078" s="9"/>
      <c r="J2078" s="9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7"/>
      <c r="B2079" s="8"/>
      <c r="C2079" s="8"/>
      <c r="D2079" s="8"/>
      <c r="E2079" s="8"/>
      <c r="F2079" s="8"/>
      <c r="G2079" s="8"/>
      <c r="H2079" s="8"/>
      <c r="I2079" s="9"/>
      <c r="J2079" s="9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7"/>
      <c r="B2080" s="8"/>
      <c r="C2080" s="8"/>
      <c r="D2080" s="8"/>
      <c r="E2080" s="8"/>
      <c r="F2080" s="8"/>
      <c r="G2080" s="8"/>
      <c r="H2080" s="8"/>
      <c r="I2080" s="9"/>
      <c r="J2080" s="9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7"/>
      <c r="B2081" s="8"/>
      <c r="C2081" s="8"/>
      <c r="D2081" s="8"/>
      <c r="E2081" s="8"/>
      <c r="F2081" s="8"/>
      <c r="G2081" s="8"/>
      <c r="H2081" s="8"/>
      <c r="I2081" s="9"/>
      <c r="J2081" s="9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7"/>
      <c r="B2082" s="8"/>
      <c r="C2082" s="8"/>
      <c r="D2082" s="8"/>
      <c r="E2082" s="8"/>
      <c r="F2082" s="8"/>
      <c r="G2082" s="8"/>
      <c r="H2082" s="8"/>
      <c r="I2082" s="9"/>
      <c r="J2082" s="9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7"/>
      <c r="B2083" s="8"/>
      <c r="C2083" s="8"/>
      <c r="D2083" s="8"/>
      <c r="E2083" s="8"/>
      <c r="F2083" s="8"/>
      <c r="G2083" s="8"/>
      <c r="H2083" s="8"/>
      <c r="I2083" s="9"/>
      <c r="J2083" s="9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7"/>
      <c r="B2084" s="8"/>
      <c r="C2084" s="8"/>
      <c r="D2084" s="8"/>
      <c r="E2084" s="8"/>
      <c r="F2084" s="8"/>
      <c r="G2084" s="8"/>
      <c r="H2084" s="8"/>
      <c r="I2084" s="9"/>
      <c r="J2084" s="9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7"/>
      <c r="B2085" s="8"/>
      <c r="C2085" s="8"/>
      <c r="D2085" s="8"/>
      <c r="E2085" s="8"/>
      <c r="F2085" s="8"/>
      <c r="G2085" s="8"/>
      <c r="H2085" s="8"/>
      <c r="I2085" s="9"/>
      <c r="J2085" s="9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7"/>
      <c r="B2086" s="8"/>
      <c r="C2086" s="8"/>
      <c r="D2086" s="8"/>
      <c r="E2086" s="8"/>
      <c r="F2086" s="8"/>
      <c r="G2086" s="8"/>
      <c r="H2086" s="8"/>
      <c r="I2086" s="9"/>
      <c r="J2086" s="9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7"/>
      <c r="B2087" s="8"/>
      <c r="C2087" s="8"/>
      <c r="D2087" s="8"/>
      <c r="E2087" s="8"/>
      <c r="F2087" s="8"/>
      <c r="G2087" s="8"/>
      <c r="H2087" s="8"/>
      <c r="I2087" s="9"/>
      <c r="J2087" s="9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7"/>
      <c r="B2088" s="8"/>
      <c r="C2088" s="8"/>
      <c r="D2088" s="8"/>
      <c r="E2088" s="8"/>
      <c r="F2088" s="8"/>
      <c r="G2088" s="8"/>
      <c r="H2088" s="8"/>
      <c r="I2088" s="9"/>
      <c r="J2088" s="9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7"/>
      <c r="B2089" s="8"/>
      <c r="C2089" s="8"/>
      <c r="D2089" s="8"/>
      <c r="E2089" s="8"/>
      <c r="F2089" s="8"/>
      <c r="G2089" s="8"/>
      <c r="H2089" s="8"/>
      <c r="I2089" s="9"/>
      <c r="J2089" s="9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7"/>
      <c r="B2090" s="8"/>
      <c r="C2090" s="8"/>
      <c r="D2090" s="8"/>
      <c r="E2090" s="8"/>
      <c r="F2090" s="8"/>
      <c r="G2090" s="8"/>
      <c r="H2090" s="8"/>
      <c r="I2090" s="9"/>
      <c r="J2090" s="9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7"/>
      <c r="B2091" s="8"/>
      <c r="C2091" s="8"/>
      <c r="D2091" s="8"/>
      <c r="E2091" s="8"/>
      <c r="F2091" s="8"/>
      <c r="G2091" s="8"/>
      <c r="H2091" s="8"/>
      <c r="I2091" s="9"/>
      <c r="J2091" s="9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7"/>
      <c r="B2092" s="8"/>
      <c r="C2092" s="8"/>
      <c r="D2092" s="8"/>
      <c r="E2092" s="8"/>
      <c r="F2092" s="8"/>
      <c r="G2092" s="8"/>
      <c r="H2092" s="8"/>
      <c r="I2092" s="9"/>
      <c r="J2092" s="9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7"/>
      <c r="B2093" s="8"/>
      <c r="C2093" s="8"/>
      <c r="D2093" s="8"/>
      <c r="E2093" s="8"/>
      <c r="F2093" s="8"/>
      <c r="G2093" s="8"/>
      <c r="H2093" s="8"/>
      <c r="I2093" s="9"/>
      <c r="J2093" s="9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7"/>
      <c r="B2094" s="8"/>
      <c r="C2094" s="8"/>
      <c r="D2094" s="8"/>
      <c r="E2094" s="8"/>
      <c r="F2094" s="8"/>
      <c r="G2094" s="8"/>
      <c r="H2094" s="8"/>
      <c r="I2094" s="9"/>
      <c r="J2094" s="9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7"/>
      <c r="B2095" s="8"/>
      <c r="C2095" s="8"/>
      <c r="D2095" s="8"/>
      <c r="E2095" s="8"/>
      <c r="F2095" s="8"/>
      <c r="G2095" s="8"/>
      <c r="H2095" s="8"/>
      <c r="I2095" s="9"/>
      <c r="J2095" s="9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7"/>
      <c r="B2096" s="8"/>
      <c r="C2096" s="8"/>
      <c r="D2096" s="8"/>
      <c r="E2096" s="8"/>
      <c r="F2096" s="8"/>
      <c r="G2096" s="8"/>
      <c r="H2096" s="8"/>
      <c r="I2096" s="9"/>
      <c r="J2096" s="9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7"/>
      <c r="B2097" s="8"/>
      <c r="C2097" s="8"/>
      <c r="D2097" s="8"/>
      <c r="E2097" s="8"/>
      <c r="F2097" s="8"/>
      <c r="G2097" s="8"/>
      <c r="H2097" s="8"/>
      <c r="I2097" s="9"/>
      <c r="J2097" s="9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7"/>
      <c r="B2098" s="8"/>
      <c r="C2098" s="8"/>
      <c r="D2098" s="8"/>
      <c r="E2098" s="8"/>
      <c r="F2098" s="8"/>
      <c r="G2098" s="8"/>
      <c r="H2098" s="8"/>
      <c r="I2098" s="9"/>
      <c r="J2098" s="9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7"/>
      <c r="B2099" s="8"/>
      <c r="C2099" s="8"/>
      <c r="D2099" s="8"/>
      <c r="E2099" s="8"/>
      <c r="F2099" s="8"/>
      <c r="G2099" s="8"/>
      <c r="H2099" s="8"/>
      <c r="I2099" s="9"/>
      <c r="J2099" s="9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7"/>
      <c r="B2100" s="8"/>
      <c r="C2100" s="8"/>
      <c r="D2100" s="8"/>
      <c r="E2100" s="8"/>
      <c r="F2100" s="8"/>
      <c r="G2100" s="8"/>
      <c r="H2100" s="8"/>
      <c r="I2100" s="9"/>
      <c r="J2100" s="9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7"/>
      <c r="B2101" s="8"/>
      <c r="C2101" s="8"/>
      <c r="D2101" s="8"/>
      <c r="E2101" s="8"/>
      <c r="F2101" s="8"/>
      <c r="G2101" s="8"/>
      <c r="H2101" s="8"/>
      <c r="I2101" s="9"/>
      <c r="J2101" s="9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7"/>
      <c r="B2102" s="8"/>
      <c r="C2102" s="8"/>
      <c r="D2102" s="8"/>
      <c r="E2102" s="8"/>
      <c r="F2102" s="8"/>
      <c r="G2102" s="8"/>
      <c r="H2102" s="8"/>
      <c r="I2102" s="9"/>
      <c r="J2102" s="9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7"/>
      <c r="B2103" s="8"/>
      <c r="C2103" s="8"/>
      <c r="D2103" s="8"/>
      <c r="E2103" s="8"/>
      <c r="F2103" s="8"/>
      <c r="G2103" s="8"/>
      <c r="H2103" s="8"/>
      <c r="I2103" s="9"/>
      <c r="J2103" s="9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7"/>
      <c r="B2104" s="8"/>
      <c r="C2104" s="8"/>
      <c r="D2104" s="8"/>
      <c r="E2104" s="8"/>
      <c r="F2104" s="8"/>
      <c r="G2104" s="8"/>
      <c r="H2104" s="8"/>
      <c r="I2104" s="9"/>
      <c r="J2104" s="9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7"/>
      <c r="B2105" s="8"/>
      <c r="C2105" s="8"/>
      <c r="D2105" s="8"/>
      <c r="E2105" s="8"/>
      <c r="F2105" s="8"/>
      <c r="G2105" s="8"/>
      <c r="H2105" s="8"/>
      <c r="I2105" s="9"/>
      <c r="J2105" s="9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7"/>
      <c r="B2106" s="8"/>
      <c r="C2106" s="8"/>
      <c r="D2106" s="8"/>
      <c r="E2106" s="8"/>
      <c r="F2106" s="8"/>
      <c r="G2106" s="8"/>
      <c r="H2106" s="8"/>
      <c r="I2106" s="9"/>
      <c r="J2106" s="9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7"/>
      <c r="B2107" s="8"/>
      <c r="C2107" s="8"/>
      <c r="D2107" s="8"/>
      <c r="E2107" s="8"/>
      <c r="F2107" s="8"/>
      <c r="G2107" s="8"/>
      <c r="H2107" s="8"/>
      <c r="I2107" s="9"/>
      <c r="J2107" s="9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7"/>
      <c r="B2108" s="8"/>
      <c r="C2108" s="8"/>
      <c r="D2108" s="8"/>
      <c r="E2108" s="8"/>
      <c r="F2108" s="8"/>
      <c r="G2108" s="8"/>
      <c r="H2108" s="8"/>
      <c r="I2108" s="9"/>
      <c r="J2108" s="9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7"/>
      <c r="B2109" s="8"/>
      <c r="C2109" s="8"/>
      <c r="D2109" s="8"/>
      <c r="E2109" s="8"/>
      <c r="F2109" s="8"/>
      <c r="G2109" s="8"/>
      <c r="H2109" s="8"/>
      <c r="I2109" s="9"/>
      <c r="J2109" s="9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7"/>
      <c r="B2110" s="8"/>
      <c r="C2110" s="8"/>
      <c r="D2110" s="8"/>
      <c r="E2110" s="8"/>
      <c r="F2110" s="8"/>
      <c r="G2110" s="8"/>
      <c r="H2110" s="8"/>
      <c r="I2110" s="9"/>
      <c r="J2110" s="9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7"/>
      <c r="B2111" s="8"/>
      <c r="C2111" s="8"/>
      <c r="D2111" s="8"/>
      <c r="E2111" s="8"/>
      <c r="F2111" s="8"/>
      <c r="G2111" s="8"/>
      <c r="H2111" s="8"/>
      <c r="I2111" s="9"/>
      <c r="J2111" s="9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7"/>
      <c r="B2112" s="8"/>
      <c r="C2112" s="8"/>
      <c r="D2112" s="8"/>
      <c r="E2112" s="8"/>
      <c r="F2112" s="8"/>
      <c r="G2112" s="8"/>
      <c r="H2112" s="8"/>
      <c r="I2112" s="9"/>
      <c r="J2112" s="9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7"/>
      <c r="B2113" s="8"/>
      <c r="C2113" s="8"/>
      <c r="D2113" s="8"/>
      <c r="E2113" s="8"/>
      <c r="F2113" s="8"/>
      <c r="G2113" s="8"/>
      <c r="H2113" s="8"/>
      <c r="I2113" s="9"/>
      <c r="J2113" s="9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7"/>
      <c r="B2114" s="8"/>
      <c r="C2114" s="8"/>
      <c r="D2114" s="8"/>
      <c r="E2114" s="8"/>
      <c r="F2114" s="8"/>
      <c r="G2114" s="8"/>
      <c r="H2114" s="8"/>
      <c r="I2114" s="9"/>
      <c r="J2114" s="9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7"/>
      <c r="B2115" s="8"/>
      <c r="C2115" s="8"/>
      <c r="D2115" s="8"/>
      <c r="E2115" s="8"/>
      <c r="F2115" s="8"/>
      <c r="G2115" s="8"/>
      <c r="H2115" s="8"/>
      <c r="I2115" s="9"/>
      <c r="J2115" s="9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7"/>
      <c r="B2116" s="8"/>
      <c r="C2116" s="8"/>
      <c r="D2116" s="8"/>
      <c r="E2116" s="8"/>
      <c r="F2116" s="8"/>
      <c r="G2116" s="8"/>
      <c r="H2116" s="8"/>
      <c r="I2116" s="9"/>
      <c r="J2116" s="9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7"/>
      <c r="B2117" s="8"/>
      <c r="C2117" s="8"/>
      <c r="D2117" s="8"/>
      <c r="E2117" s="8"/>
      <c r="F2117" s="8"/>
      <c r="G2117" s="8"/>
      <c r="H2117" s="8"/>
      <c r="I2117" s="9"/>
      <c r="J2117" s="9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7"/>
      <c r="B2118" s="8"/>
      <c r="C2118" s="8"/>
      <c r="D2118" s="8"/>
      <c r="E2118" s="8"/>
      <c r="F2118" s="8"/>
      <c r="G2118" s="8"/>
      <c r="H2118" s="8"/>
      <c r="I2118" s="9"/>
      <c r="J2118" s="9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7"/>
      <c r="B2119" s="8"/>
      <c r="C2119" s="8"/>
      <c r="D2119" s="8"/>
      <c r="E2119" s="8"/>
      <c r="F2119" s="8"/>
      <c r="G2119" s="8"/>
      <c r="H2119" s="8"/>
      <c r="I2119" s="9"/>
      <c r="J2119" s="9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7"/>
      <c r="B2120" s="8"/>
      <c r="C2120" s="8"/>
      <c r="D2120" s="8"/>
      <c r="E2120" s="8"/>
      <c r="F2120" s="8"/>
      <c r="G2120" s="8"/>
      <c r="H2120" s="8"/>
      <c r="I2120" s="9"/>
      <c r="J2120" s="9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7"/>
      <c r="B2121" s="8"/>
      <c r="C2121" s="8"/>
      <c r="D2121" s="8"/>
      <c r="E2121" s="8"/>
      <c r="F2121" s="8"/>
      <c r="G2121" s="8"/>
      <c r="H2121" s="8"/>
      <c r="I2121" s="9"/>
      <c r="J2121" s="9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7"/>
      <c r="B2122" s="8"/>
      <c r="C2122" s="8"/>
      <c r="D2122" s="8"/>
      <c r="E2122" s="8"/>
      <c r="F2122" s="8"/>
      <c r="G2122" s="8"/>
      <c r="H2122" s="8"/>
      <c r="I2122" s="9"/>
      <c r="J2122" s="9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7"/>
      <c r="B2123" s="8"/>
      <c r="C2123" s="8"/>
      <c r="D2123" s="8"/>
      <c r="E2123" s="8"/>
      <c r="F2123" s="8"/>
      <c r="G2123" s="8"/>
      <c r="H2123" s="8"/>
      <c r="I2123" s="9"/>
      <c r="J2123" s="9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7"/>
      <c r="B2124" s="8"/>
      <c r="C2124" s="8"/>
      <c r="D2124" s="8"/>
      <c r="E2124" s="8"/>
      <c r="F2124" s="8"/>
      <c r="G2124" s="8"/>
      <c r="H2124" s="8"/>
      <c r="I2124" s="9"/>
      <c r="J2124" s="9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7"/>
      <c r="B2125" s="8"/>
      <c r="C2125" s="8"/>
      <c r="D2125" s="8"/>
      <c r="E2125" s="8"/>
      <c r="F2125" s="8"/>
      <c r="G2125" s="8"/>
      <c r="H2125" s="8"/>
      <c r="I2125" s="9"/>
      <c r="J2125" s="9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7"/>
      <c r="B2126" s="8"/>
      <c r="C2126" s="8"/>
      <c r="D2126" s="8"/>
      <c r="E2126" s="8"/>
      <c r="F2126" s="8"/>
      <c r="G2126" s="8"/>
      <c r="H2126" s="8"/>
      <c r="I2126" s="9"/>
      <c r="J2126" s="9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7"/>
      <c r="B2127" s="8"/>
      <c r="C2127" s="8"/>
      <c r="D2127" s="8"/>
      <c r="E2127" s="8"/>
      <c r="F2127" s="8"/>
      <c r="G2127" s="8"/>
      <c r="H2127" s="8"/>
      <c r="I2127" s="9"/>
      <c r="J2127" s="9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7"/>
      <c r="B2128" s="8"/>
      <c r="C2128" s="8"/>
      <c r="D2128" s="8"/>
      <c r="E2128" s="8"/>
      <c r="F2128" s="8"/>
      <c r="G2128" s="8"/>
      <c r="H2128" s="8"/>
      <c r="I2128" s="9"/>
      <c r="J2128" s="9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7"/>
      <c r="B2129" s="8"/>
      <c r="C2129" s="8"/>
      <c r="D2129" s="8"/>
      <c r="E2129" s="8"/>
      <c r="F2129" s="8"/>
      <c r="G2129" s="8"/>
      <c r="H2129" s="8"/>
      <c r="I2129" s="9"/>
      <c r="J2129" s="9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7"/>
      <c r="B2130" s="8"/>
      <c r="C2130" s="8"/>
      <c r="D2130" s="8"/>
      <c r="E2130" s="8"/>
      <c r="F2130" s="8"/>
      <c r="G2130" s="8"/>
      <c r="H2130" s="8"/>
      <c r="I2130" s="9"/>
      <c r="J2130" s="9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customHeight="1">
      <c r="A2131" s="7"/>
      <c r="B2131" s="8"/>
      <c r="C2131" s="8"/>
      <c r="D2131" s="8"/>
      <c r="E2131" s="8"/>
      <c r="F2131" s="8"/>
      <c r="G2131" s="8"/>
      <c r="H2131" s="8"/>
      <c r="I2131" s="9"/>
      <c r="J2131" s="9"/>
      <c r="K2131" s="18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customHeight="1">
      <c r="A2132" s="7"/>
      <c r="B2132" s="8"/>
      <c r="C2132" s="8"/>
      <c r="D2132" s="8"/>
      <c r="E2132" s="8"/>
      <c r="F2132" s="8"/>
      <c r="G2132" s="8"/>
      <c r="H2132" s="8"/>
      <c r="I2132" s="9"/>
      <c r="J2132" s="9"/>
      <c r="K2132" s="18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customHeight="1">
      <c r="A2133" s="7"/>
      <c r="B2133" s="8"/>
      <c r="C2133" s="8"/>
      <c r="D2133" s="8"/>
      <c r="E2133" s="8"/>
      <c r="F2133" s="8"/>
      <c r="G2133" s="8"/>
      <c r="H2133" s="8"/>
      <c r="I2133" s="9"/>
      <c r="J2133" s="9"/>
      <c r="K2133" s="18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4.25" customHeight="1">
      <c r="A2134" s="7"/>
      <c r="B2134" s="8"/>
      <c r="C2134" s="8"/>
      <c r="D2134" s="8"/>
      <c r="E2134" s="8"/>
      <c r="F2134" s="8"/>
      <c r="G2134" s="8"/>
      <c r="H2134" s="8"/>
      <c r="I2134" s="9"/>
      <c r="J2134" s="9"/>
      <c r="K2134" s="18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customHeight="1">
      <c r="A2135" s="7"/>
      <c r="B2135" s="8"/>
      <c r="C2135" s="8"/>
      <c r="D2135" s="8"/>
      <c r="E2135" s="8"/>
      <c r="F2135" s="8"/>
      <c r="G2135" s="8"/>
      <c r="H2135" s="8"/>
      <c r="I2135" s="9"/>
      <c r="J2135" s="9"/>
      <c r="K2135" s="18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customHeight="1">
      <c r="A2136" s="7"/>
      <c r="B2136" s="8"/>
      <c r="C2136" s="8"/>
      <c r="D2136" s="8"/>
      <c r="E2136" s="8"/>
      <c r="F2136" s="8"/>
      <c r="G2136" s="8"/>
      <c r="H2136" s="8"/>
      <c r="I2136" s="9"/>
      <c r="J2136" s="9"/>
      <c r="K2136" s="18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customHeight="1">
      <c r="A2137" s="7"/>
      <c r="B2137" s="8"/>
      <c r="C2137" s="8"/>
      <c r="D2137" s="8"/>
      <c r="E2137" s="8"/>
      <c r="F2137" s="8"/>
      <c r="G2137" s="8"/>
      <c r="H2137" s="8"/>
      <c r="I2137" s="9"/>
      <c r="J2137" s="9"/>
      <c r="K2137" s="18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4.25" customHeight="1">
      <c r="A2138" s="7"/>
      <c r="B2138" s="8"/>
      <c r="C2138" s="8"/>
      <c r="D2138" s="8"/>
      <c r="E2138" s="8"/>
      <c r="F2138" s="8"/>
      <c r="G2138" s="8"/>
      <c r="H2138" s="8"/>
      <c r="I2138" s="9"/>
      <c r="J2138" s="9"/>
      <c r="K2138" s="18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customHeight="1">
      <c r="A2139" s="7"/>
      <c r="B2139" s="8"/>
      <c r="C2139" s="8"/>
      <c r="D2139" s="8"/>
      <c r="E2139" s="8"/>
      <c r="F2139" s="8"/>
      <c r="G2139" s="8"/>
      <c r="H2139" s="8"/>
      <c r="I2139" s="9"/>
      <c r="J2139" s="9"/>
      <c r="K2139" s="18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4.25" customHeight="1">
      <c r="A2140" s="7"/>
      <c r="B2140" s="8"/>
      <c r="C2140" s="8"/>
      <c r="D2140" s="8"/>
      <c r="E2140" s="8"/>
      <c r="F2140" s="8"/>
      <c r="G2140" s="8"/>
      <c r="H2140" s="8"/>
      <c r="I2140" s="9"/>
      <c r="J2140" s="9"/>
      <c r="K2140" s="18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customHeight="1">
      <c r="A2141" s="7"/>
      <c r="B2141" s="8"/>
      <c r="C2141" s="8"/>
      <c r="D2141" s="8"/>
      <c r="E2141" s="8"/>
      <c r="F2141" s="8"/>
      <c r="G2141" s="8"/>
      <c r="H2141" s="8"/>
      <c r="I2141" s="9"/>
      <c r="J2141" s="9"/>
      <c r="K2141" s="18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customHeight="1">
      <c r="A2142" s="7"/>
      <c r="B2142" s="8"/>
      <c r="C2142" s="8"/>
      <c r="D2142" s="8"/>
      <c r="E2142" s="8"/>
      <c r="F2142" s="8"/>
      <c r="G2142" s="8"/>
      <c r="H2142" s="8"/>
      <c r="I2142" s="9"/>
      <c r="J2142" s="9"/>
      <c r="K2142" s="18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customHeight="1">
      <c r="A2143" s="7"/>
      <c r="B2143" s="8"/>
      <c r="C2143" s="8"/>
      <c r="D2143" s="8"/>
      <c r="E2143" s="8"/>
      <c r="F2143" s="8"/>
      <c r="G2143" s="8"/>
      <c r="H2143" s="8"/>
      <c r="I2143" s="9"/>
      <c r="J2143" s="9"/>
      <c r="K2143" s="18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customHeight="1">
      <c r="A2144" s="7"/>
      <c r="B2144" s="8"/>
      <c r="C2144" s="8"/>
      <c r="D2144" s="8"/>
      <c r="E2144" s="8"/>
      <c r="F2144" s="8"/>
      <c r="G2144" s="8"/>
      <c r="H2144" s="8"/>
      <c r="I2144" s="9"/>
      <c r="J2144" s="9"/>
      <c r="K2144" s="18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customHeight="1">
      <c r="A2145" s="7"/>
      <c r="B2145" s="8"/>
      <c r="C2145" s="8"/>
      <c r="D2145" s="8"/>
      <c r="E2145" s="8"/>
      <c r="F2145" s="8"/>
      <c r="G2145" s="8"/>
      <c r="H2145" s="8"/>
      <c r="I2145" s="9"/>
      <c r="J2145" s="9"/>
      <c r="K2145" s="18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customHeight="1">
      <c r="A2146" s="7"/>
      <c r="B2146" s="8"/>
      <c r="C2146" s="8"/>
      <c r="D2146" s="8"/>
      <c r="E2146" s="8"/>
      <c r="F2146" s="8"/>
      <c r="G2146" s="8"/>
      <c r="H2146" s="8"/>
      <c r="I2146" s="9"/>
      <c r="J2146" s="9"/>
      <c r="K2146" s="18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4.25" customHeight="1">
      <c r="A2147" s="7"/>
      <c r="B2147" s="8"/>
      <c r="C2147" s="8"/>
      <c r="D2147" s="8"/>
      <c r="E2147" s="8"/>
      <c r="F2147" s="8"/>
      <c r="G2147" s="8"/>
      <c r="H2147" s="8"/>
      <c r="I2147" s="9"/>
      <c r="J2147" s="9"/>
      <c r="K2147" s="18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customHeight="1">
      <c r="A2148" s="7"/>
      <c r="B2148" s="8"/>
      <c r="C2148" s="8"/>
      <c r="D2148" s="8"/>
      <c r="E2148" s="8"/>
      <c r="F2148" s="8"/>
      <c r="G2148" s="8"/>
      <c r="H2148" s="8"/>
      <c r="I2148" s="9"/>
      <c r="J2148" s="9"/>
      <c r="K2148" s="18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customHeight="1">
      <c r="A2149" s="7"/>
      <c r="B2149" s="8"/>
      <c r="C2149" s="8"/>
      <c r="D2149" s="8"/>
      <c r="E2149" s="8"/>
      <c r="F2149" s="8"/>
      <c r="G2149" s="8"/>
      <c r="H2149" s="8"/>
      <c r="I2149" s="9"/>
      <c r="J2149" s="9"/>
      <c r="K2149" s="18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customHeight="1">
      <c r="A2150" s="7"/>
      <c r="B2150" s="8"/>
      <c r="C2150" s="8"/>
      <c r="D2150" s="8"/>
      <c r="E2150" s="8"/>
      <c r="F2150" s="8"/>
      <c r="G2150" s="8"/>
      <c r="H2150" s="8"/>
      <c r="I2150" s="9"/>
      <c r="J2150" s="9"/>
      <c r="K2150" s="18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customHeight="1">
      <c r="A2151" s="7"/>
      <c r="B2151" s="8"/>
      <c r="C2151" s="8"/>
      <c r="D2151" s="8"/>
      <c r="E2151" s="8"/>
      <c r="F2151" s="8"/>
      <c r="G2151" s="8"/>
      <c r="H2151" s="8"/>
      <c r="I2151" s="9"/>
      <c r="J2151" s="9"/>
      <c r="K2151" s="18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customHeight="1">
      <c r="A2152" s="7"/>
      <c r="B2152" s="8"/>
      <c r="C2152" s="8"/>
      <c r="D2152" s="8"/>
      <c r="E2152" s="8"/>
      <c r="F2152" s="8"/>
      <c r="G2152" s="8"/>
      <c r="H2152" s="8"/>
      <c r="I2152" s="9"/>
      <c r="J2152" s="9"/>
      <c r="K2152" s="18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customHeight="1">
      <c r="A2153" s="7"/>
      <c r="B2153" s="8"/>
      <c r="C2153" s="8"/>
      <c r="D2153" s="8"/>
      <c r="E2153" s="8"/>
      <c r="F2153" s="8"/>
      <c r="G2153" s="8"/>
      <c r="H2153" s="8"/>
      <c r="I2153" s="9"/>
      <c r="J2153" s="9"/>
      <c r="K2153" s="18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4.25" customHeight="1">
      <c r="A2154" s="7"/>
      <c r="B2154" s="8"/>
      <c r="C2154" s="8"/>
      <c r="D2154" s="8"/>
      <c r="E2154" s="8"/>
      <c r="F2154" s="8"/>
      <c r="G2154" s="8"/>
      <c r="H2154" s="8"/>
      <c r="I2154" s="9"/>
      <c r="J2154" s="9"/>
      <c r="K2154" s="18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customHeight="1">
      <c r="A2155" s="7"/>
      <c r="B2155" s="8"/>
      <c r="C2155" s="8"/>
      <c r="D2155" s="8"/>
      <c r="E2155" s="8"/>
      <c r="F2155" s="8"/>
      <c r="G2155" s="8"/>
      <c r="H2155" s="8"/>
      <c r="I2155" s="9"/>
      <c r="J2155" s="9"/>
      <c r="K2155" s="18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4.25" customHeight="1">
      <c r="A2156" s="7"/>
      <c r="B2156" s="8"/>
      <c r="C2156" s="8"/>
      <c r="D2156" s="8"/>
      <c r="E2156" s="8"/>
      <c r="F2156" s="8"/>
      <c r="G2156" s="8"/>
      <c r="H2156" s="8"/>
      <c r="I2156" s="9"/>
      <c r="J2156" s="9"/>
      <c r="K2156" s="18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customHeight="1">
      <c r="A2157" s="7"/>
      <c r="B2157" s="8"/>
      <c r="C2157" s="8"/>
      <c r="D2157" s="8"/>
      <c r="E2157" s="8"/>
      <c r="F2157" s="8"/>
      <c r="G2157" s="8"/>
      <c r="H2157" s="8"/>
      <c r="I2157" s="9"/>
      <c r="J2157" s="9"/>
      <c r="K2157" s="18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customHeight="1">
      <c r="A2158" s="7"/>
      <c r="B2158" s="8"/>
      <c r="C2158" s="8"/>
      <c r="D2158" s="8"/>
      <c r="E2158" s="8"/>
      <c r="F2158" s="8"/>
      <c r="G2158" s="8"/>
      <c r="H2158" s="8"/>
      <c r="I2158" s="9"/>
      <c r="J2158" s="9"/>
      <c r="K2158" s="18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customHeight="1">
      <c r="A2159" s="7"/>
      <c r="B2159" s="8"/>
      <c r="C2159" s="8"/>
      <c r="D2159" s="8"/>
      <c r="E2159" s="8"/>
      <c r="F2159" s="8"/>
      <c r="G2159" s="8"/>
      <c r="H2159" s="8"/>
      <c r="I2159" s="9"/>
      <c r="J2159" s="9"/>
      <c r="K2159" s="18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customHeight="1">
      <c r="A2160" s="7"/>
      <c r="B2160" s="8"/>
      <c r="C2160" s="8"/>
      <c r="D2160" s="8"/>
      <c r="E2160" s="8"/>
      <c r="F2160" s="8"/>
      <c r="G2160" s="8"/>
      <c r="H2160" s="8"/>
      <c r="I2160" s="9"/>
      <c r="J2160" s="9"/>
      <c r="K2160" s="18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customHeight="1">
      <c r="A2161" s="7"/>
      <c r="B2161" s="8"/>
      <c r="C2161" s="8"/>
      <c r="D2161" s="8"/>
      <c r="E2161" s="8"/>
      <c r="F2161" s="8"/>
      <c r="G2161" s="8"/>
      <c r="H2161" s="8"/>
      <c r="I2161" s="9"/>
      <c r="J2161" s="9"/>
      <c r="K2161" s="18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4.25" customHeight="1">
      <c r="A2162" s="7"/>
      <c r="B2162" s="8"/>
      <c r="C2162" s="8"/>
      <c r="D2162" s="8"/>
      <c r="E2162" s="8"/>
      <c r="F2162" s="8"/>
      <c r="G2162" s="8"/>
      <c r="H2162" s="8"/>
      <c r="I2162" s="9"/>
      <c r="J2162" s="9"/>
      <c r="K2162" s="18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customHeight="1">
      <c r="A2163" s="7"/>
      <c r="B2163" s="8"/>
      <c r="C2163" s="8"/>
      <c r="D2163" s="8"/>
      <c r="E2163" s="8"/>
      <c r="F2163" s="8"/>
      <c r="G2163" s="8"/>
      <c r="H2163" s="8"/>
      <c r="I2163" s="9"/>
      <c r="J2163" s="9"/>
      <c r="K2163" s="18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customHeight="1">
      <c r="A2164" s="7"/>
      <c r="B2164" s="8"/>
      <c r="C2164" s="8"/>
      <c r="D2164" s="8"/>
      <c r="E2164" s="8"/>
      <c r="F2164" s="8"/>
      <c r="G2164" s="8"/>
      <c r="H2164" s="8"/>
      <c r="I2164" s="9"/>
      <c r="J2164" s="9"/>
      <c r="K2164" s="18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customHeight="1">
      <c r="A2165" s="7"/>
      <c r="B2165" s="8"/>
      <c r="C2165" s="8"/>
      <c r="D2165" s="8"/>
      <c r="E2165" s="8"/>
      <c r="F2165" s="8"/>
      <c r="G2165" s="8"/>
      <c r="H2165" s="8"/>
      <c r="I2165" s="9"/>
      <c r="J2165" s="9"/>
      <c r="K2165" s="18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customHeight="1">
      <c r="A2166" s="7"/>
      <c r="B2166" s="8"/>
      <c r="C2166" s="8"/>
      <c r="D2166" s="8"/>
      <c r="E2166" s="8"/>
      <c r="F2166" s="8"/>
      <c r="G2166" s="8"/>
      <c r="H2166" s="8"/>
      <c r="I2166" s="9"/>
      <c r="J2166" s="9"/>
      <c r="K2166" s="18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customHeight="1">
      <c r="A2167" s="7"/>
      <c r="B2167" s="8"/>
      <c r="C2167" s="8"/>
      <c r="D2167" s="8"/>
      <c r="E2167" s="8"/>
      <c r="F2167" s="8"/>
      <c r="G2167" s="8"/>
      <c r="H2167" s="8"/>
      <c r="I2167" s="9"/>
      <c r="J2167" s="9"/>
      <c r="K2167" s="18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4.25" customHeight="1">
      <c r="A2168" s="7"/>
      <c r="B2168" s="8"/>
      <c r="C2168" s="8"/>
      <c r="D2168" s="8"/>
      <c r="E2168" s="8"/>
      <c r="F2168" s="8"/>
      <c r="G2168" s="8"/>
      <c r="H2168" s="8"/>
      <c r="I2168" s="9"/>
      <c r="J2168" s="9"/>
      <c r="K2168" s="18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customHeight="1">
      <c r="A2169" s="7"/>
      <c r="B2169" s="8"/>
      <c r="C2169" s="8"/>
      <c r="D2169" s="8"/>
      <c r="E2169" s="8"/>
      <c r="F2169" s="8"/>
      <c r="G2169" s="8"/>
      <c r="H2169" s="8"/>
      <c r="I2169" s="9"/>
      <c r="J2169" s="9"/>
      <c r="K2169" s="18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customHeight="1">
      <c r="A2170" s="7"/>
      <c r="B2170" s="8"/>
      <c r="C2170" s="8"/>
      <c r="D2170" s="8"/>
      <c r="E2170" s="8"/>
      <c r="F2170" s="8"/>
      <c r="G2170" s="8"/>
      <c r="H2170" s="8"/>
      <c r="I2170" s="9"/>
      <c r="J2170" s="9"/>
      <c r="K2170" s="18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customHeight="1">
      <c r="A2171" s="7"/>
      <c r="B2171" s="8"/>
      <c r="C2171" s="8"/>
      <c r="D2171" s="8"/>
      <c r="E2171" s="8"/>
      <c r="F2171" s="8"/>
      <c r="G2171" s="8"/>
      <c r="H2171" s="8"/>
      <c r="I2171" s="9"/>
      <c r="J2171" s="9"/>
      <c r="K2171" s="18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customHeight="1">
      <c r="A2172" s="7"/>
      <c r="B2172" s="8"/>
      <c r="C2172" s="8"/>
      <c r="D2172" s="8"/>
      <c r="E2172" s="8"/>
      <c r="F2172" s="8"/>
      <c r="G2172" s="8"/>
      <c r="H2172" s="8"/>
      <c r="I2172" s="9"/>
      <c r="J2172" s="9"/>
      <c r="K2172" s="18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4.25" customHeight="1">
      <c r="A2173" s="7"/>
      <c r="B2173" s="8"/>
      <c r="C2173" s="8"/>
      <c r="D2173" s="8"/>
      <c r="E2173" s="8"/>
      <c r="F2173" s="8"/>
      <c r="G2173" s="8"/>
      <c r="H2173" s="8"/>
      <c r="I2173" s="9"/>
      <c r="J2173" s="9"/>
      <c r="K2173" s="18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customHeight="1">
      <c r="A2174" s="7"/>
      <c r="B2174" s="8"/>
      <c r="C2174" s="8"/>
      <c r="D2174" s="8"/>
      <c r="E2174" s="8"/>
      <c r="F2174" s="8"/>
      <c r="G2174" s="8"/>
      <c r="H2174" s="8"/>
      <c r="I2174" s="9"/>
      <c r="J2174" s="9"/>
      <c r="K2174" s="18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4.25" customHeight="1">
      <c r="A2175" s="7"/>
      <c r="B2175" s="8"/>
      <c r="C2175" s="8"/>
      <c r="D2175" s="8"/>
      <c r="E2175" s="8"/>
      <c r="F2175" s="8"/>
      <c r="G2175" s="8"/>
      <c r="H2175" s="8"/>
      <c r="I2175" s="9"/>
      <c r="J2175" s="9"/>
      <c r="K2175" s="18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customHeight="1">
      <c r="A2176" s="7"/>
      <c r="B2176" s="8"/>
      <c r="C2176" s="8"/>
      <c r="D2176" s="8"/>
      <c r="E2176" s="8"/>
      <c r="F2176" s="8"/>
      <c r="G2176" s="8"/>
      <c r="H2176" s="8"/>
      <c r="I2176" s="9"/>
      <c r="J2176" s="9"/>
      <c r="K2176" s="18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customHeight="1">
      <c r="A2177" s="7"/>
      <c r="B2177" s="8"/>
      <c r="C2177" s="8"/>
      <c r="D2177" s="8"/>
      <c r="E2177" s="8"/>
      <c r="F2177" s="8"/>
      <c r="G2177" s="8"/>
      <c r="H2177" s="8"/>
      <c r="I2177" s="9"/>
      <c r="J2177" s="9"/>
      <c r="K2177" s="18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4.25" customHeight="1">
      <c r="A2178" s="7"/>
      <c r="B2178" s="8"/>
      <c r="C2178" s="8"/>
      <c r="D2178" s="8"/>
      <c r="E2178" s="8"/>
      <c r="F2178" s="8"/>
      <c r="G2178" s="8"/>
      <c r="H2178" s="8"/>
      <c r="I2178" s="9"/>
      <c r="J2178" s="9"/>
      <c r="K2178" s="18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customHeight="1">
      <c r="A2179" s="7"/>
      <c r="B2179" s="8"/>
      <c r="C2179" s="8"/>
      <c r="D2179" s="8"/>
      <c r="E2179" s="8"/>
      <c r="F2179" s="8"/>
      <c r="G2179" s="8"/>
      <c r="H2179" s="8"/>
      <c r="I2179" s="9"/>
      <c r="J2179" s="9"/>
      <c r="K2179" s="18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customHeight="1">
      <c r="A2180" s="7"/>
      <c r="B2180" s="8"/>
      <c r="C2180" s="8"/>
      <c r="D2180" s="8"/>
      <c r="E2180" s="8"/>
      <c r="F2180" s="8"/>
      <c r="G2180" s="8"/>
      <c r="H2180" s="8"/>
      <c r="I2180" s="9"/>
      <c r="J2180" s="9"/>
      <c r="K2180" s="18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customHeight="1">
      <c r="A2181" s="7"/>
      <c r="B2181" s="8"/>
      <c r="C2181" s="8"/>
      <c r="D2181" s="8"/>
      <c r="E2181" s="8"/>
      <c r="F2181" s="8"/>
      <c r="G2181" s="8"/>
      <c r="H2181" s="8"/>
      <c r="I2181" s="9"/>
      <c r="J2181" s="9"/>
      <c r="K2181" s="18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customHeight="1">
      <c r="A2182" s="7"/>
      <c r="B2182" s="8"/>
      <c r="C2182" s="8"/>
      <c r="D2182" s="8"/>
      <c r="E2182" s="8"/>
      <c r="F2182" s="8"/>
      <c r="G2182" s="8"/>
      <c r="H2182" s="8"/>
      <c r="I2182" s="9"/>
      <c r="J2182" s="9"/>
      <c r="K2182" s="18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customHeight="1">
      <c r="A2183" s="7"/>
      <c r="B2183" s="8"/>
      <c r="C2183" s="8"/>
      <c r="D2183" s="8"/>
      <c r="E2183" s="8"/>
      <c r="F2183" s="8"/>
      <c r="G2183" s="8"/>
      <c r="H2183" s="8"/>
      <c r="I2183" s="9"/>
      <c r="J2183" s="9"/>
      <c r="K2183" s="18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customHeight="1">
      <c r="A2184" s="7"/>
      <c r="B2184" s="8"/>
      <c r="C2184" s="8"/>
      <c r="D2184" s="8"/>
      <c r="E2184" s="8"/>
      <c r="F2184" s="8"/>
      <c r="G2184" s="8"/>
      <c r="H2184" s="8"/>
      <c r="I2184" s="9"/>
      <c r="J2184" s="9"/>
      <c r="K2184" s="18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4.25" customHeight="1">
      <c r="A2185" s="7"/>
      <c r="B2185" s="8"/>
      <c r="C2185" s="8"/>
      <c r="D2185" s="8"/>
      <c r="E2185" s="8"/>
      <c r="F2185" s="8"/>
      <c r="G2185" s="8"/>
      <c r="H2185" s="8"/>
      <c r="I2185" s="9"/>
      <c r="J2185" s="9"/>
      <c r="K2185" s="18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customHeight="1">
      <c r="A2186" s="7"/>
      <c r="B2186" s="8"/>
      <c r="C2186" s="8"/>
      <c r="D2186" s="8"/>
      <c r="E2186" s="8"/>
      <c r="F2186" s="8"/>
      <c r="G2186" s="8"/>
      <c r="H2186" s="8"/>
      <c r="I2186" s="9"/>
      <c r="J2186" s="9"/>
      <c r="K2186" s="18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customHeight="1">
      <c r="A2187" s="7"/>
      <c r="B2187" s="8"/>
      <c r="C2187" s="8"/>
      <c r="D2187" s="8"/>
      <c r="E2187" s="8"/>
      <c r="F2187" s="8"/>
      <c r="G2187" s="8"/>
      <c r="H2187" s="8"/>
      <c r="I2187" s="9"/>
      <c r="J2187" s="9"/>
      <c r="K2187" s="18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customHeight="1">
      <c r="A2188" s="7"/>
      <c r="B2188" s="8"/>
      <c r="C2188" s="8"/>
      <c r="D2188" s="8"/>
      <c r="E2188" s="8"/>
      <c r="F2188" s="8"/>
      <c r="G2188" s="8"/>
      <c r="H2188" s="8"/>
      <c r="I2188" s="9"/>
      <c r="J2188" s="9"/>
      <c r="K2188" s="18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4.25" customHeight="1">
      <c r="A2189" s="7"/>
      <c r="B2189" s="8"/>
      <c r="C2189" s="8"/>
      <c r="D2189" s="8"/>
      <c r="E2189" s="8"/>
      <c r="F2189" s="8"/>
      <c r="G2189" s="8"/>
      <c r="H2189" s="8"/>
      <c r="I2189" s="9"/>
      <c r="J2189" s="9"/>
      <c r="K2189" s="18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customHeight="1">
      <c r="A2190" s="7"/>
      <c r="B2190" s="8"/>
      <c r="C2190" s="8"/>
      <c r="D2190" s="8"/>
      <c r="E2190" s="8"/>
      <c r="F2190" s="8"/>
      <c r="G2190" s="8"/>
      <c r="H2190" s="8"/>
      <c r="I2190" s="9"/>
      <c r="J2190" s="9"/>
      <c r="K2190" s="18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customHeight="1">
      <c r="A2191" s="7"/>
      <c r="B2191" s="8"/>
      <c r="C2191" s="8"/>
      <c r="D2191" s="8"/>
      <c r="E2191" s="8"/>
      <c r="F2191" s="8"/>
      <c r="G2191" s="8"/>
      <c r="H2191" s="8"/>
      <c r="I2191" s="9"/>
      <c r="J2191" s="9"/>
      <c r="K2191" s="18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customHeight="1">
      <c r="A2192" s="7"/>
      <c r="B2192" s="8"/>
      <c r="C2192" s="8"/>
      <c r="D2192" s="8"/>
      <c r="E2192" s="8"/>
      <c r="F2192" s="8"/>
      <c r="G2192" s="8"/>
      <c r="H2192" s="8"/>
      <c r="I2192" s="9"/>
      <c r="J2192" s="9"/>
      <c r="K2192" s="18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customHeight="1">
      <c r="A2193" s="7"/>
      <c r="B2193" s="8"/>
      <c r="C2193" s="8"/>
      <c r="D2193" s="8"/>
      <c r="E2193" s="8"/>
      <c r="F2193" s="8"/>
      <c r="G2193" s="8"/>
      <c r="H2193" s="8"/>
      <c r="I2193" s="9"/>
      <c r="J2193" s="9"/>
      <c r="K2193" s="18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customHeight="1">
      <c r="A2194" s="7"/>
      <c r="B2194" s="8"/>
      <c r="C2194" s="8"/>
      <c r="D2194" s="8"/>
      <c r="E2194" s="8"/>
      <c r="F2194" s="8"/>
      <c r="G2194" s="8"/>
      <c r="H2194" s="8"/>
      <c r="I2194" s="9"/>
      <c r="J2194" s="9"/>
      <c r="K2194" s="18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customHeight="1">
      <c r="A2195" s="7"/>
      <c r="B2195" s="8"/>
      <c r="C2195" s="8"/>
      <c r="D2195" s="8"/>
      <c r="E2195" s="8"/>
      <c r="F2195" s="8"/>
      <c r="G2195" s="8"/>
      <c r="H2195" s="8"/>
      <c r="I2195" s="9"/>
      <c r="J2195" s="9"/>
      <c r="K2195" s="18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4.25" customHeight="1">
      <c r="A2196" s="7"/>
      <c r="B2196" s="8"/>
      <c r="C2196" s="8"/>
      <c r="D2196" s="8"/>
      <c r="E2196" s="8"/>
      <c r="F2196" s="8"/>
      <c r="G2196" s="8"/>
      <c r="H2196" s="8"/>
      <c r="I2196" s="9"/>
      <c r="J2196" s="9"/>
      <c r="K2196" s="18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customHeight="1">
      <c r="A2197" s="7"/>
      <c r="B2197" s="8"/>
      <c r="C2197" s="8"/>
      <c r="D2197" s="8"/>
      <c r="E2197" s="8"/>
      <c r="F2197" s="8"/>
      <c r="G2197" s="8"/>
      <c r="H2197" s="8"/>
      <c r="I2197" s="9"/>
      <c r="J2197" s="9"/>
      <c r="K2197" s="18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customHeight="1">
      <c r="A2198" s="7"/>
      <c r="B2198" s="8"/>
      <c r="C2198" s="8"/>
      <c r="D2198" s="8"/>
      <c r="E2198" s="8"/>
      <c r="F2198" s="8"/>
      <c r="G2198" s="8"/>
      <c r="H2198" s="8"/>
      <c r="I2198" s="9"/>
      <c r="J2198" s="9"/>
      <c r="K2198" s="18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customHeight="1">
      <c r="A2199" s="7"/>
      <c r="B2199" s="8"/>
      <c r="C2199" s="8"/>
      <c r="D2199" s="8"/>
      <c r="E2199" s="8"/>
      <c r="F2199" s="8"/>
      <c r="G2199" s="8"/>
      <c r="H2199" s="8"/>
      <c r="I2199" s="9"/>
      <c r="J2199" s="9"/>
      <c r="K2199" s="18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customHeight="1">
      <c r="A2200" s="7"/>
      <c r="B2200" s="8"/>
      <c r="C2200" s="8"/>
      <c r="D2200" s="8"/>
      <c r="E2200" s="8"/>
      <c r="F2200" s="8"/>
      <c r="G2200" s="8"/>
      <c r="H2200" s="8"/>
      <c r="I2200" s="9"/>
      <c r="J2200" s="9"/>
      <c r="K2200" s="18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customHeight="1">
      <c r="A2201" s="7"/>
      <c r="B2201" s="8"/>
      <c r="C2201" s="8"/>
      <c r="D2201" s="8"/>
      <c r="E2201" s="8"/>
      <c r="F2201" s="8"/>
      <c r="G2201" s="8"/>
      <c r="H2201" s="8"/>
      <c r="I2201" s="9"/>
      <c r="J2201" s="9"/>
      <c r="K2201" s="18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4.25" customHeight="1">
      <c r="A2202" s="7"/>
      <c r="B2202" s="8"/>
      <c r="C2202" s="8"/>
      <c r="D2202" s="8"/>
      <c r="E2202" s="8"/>
      <c r="F2202" s="8"/>
      <c r="G2202" s="8"/>
      <c r="H2202" s="8"/>
      <c r="I2202" s="9"/>
      <c r="J2202" s="9"/>
      <c r="K2202" s="18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customHeight="1">
      <c r="A2203" s="7"/>
      <c r="B2203" s="8"/>
      <c r="C2203" s="8"/>
      <c r="D2203" s="8"/>
      <c r="E2203" s="8"/>
      <c r="F2203" s="8"/>
      <c r="G2203" s="8"/>
      <c r="H2203" s="8"/>
      <c r="I2203" s="9"/>
      <c r="J2203" s="9"/>
      <c r="K2203" s="18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customHeight="1">
      <c r="A2204" s="7"/>
      <c r="B2204" s="8"/>
      <c r="C2204" s="8"/>
      <c r="D2204" s="8"/>
      <c r="E2204" s="8"/>
      <c r="F2204" s="8"/>
      <c r="G2204" s="8"/>
      <c r="H2204" s="8"/>
      <c r="I2204" s="9"/>
      <c r="J2204" s="9"/>
      <c r="K2204" s="18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customHeight="1">
      <c r="A2205" s="7"/>
      <c r="B2205" s="8"/>
      <c r="C2205" s="8"/>
      <c r="D2205" s="8"/>
      <c r="E2205" s="8"/>
      <c r="F2205" s="8"/>
      <c r="G2205" s="8"/>
      <c r="H2205" s="8"/>
      <c r="I2205" s="9"/>
      <c r="J2205" s="9"/>
      <c r="K2205" s="18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customHeight="1">
      <c r="A2206" s="7"/>
      <c r="B2206" s="8"/>
      <c r="C2206" s="8"/>
      <c r="D2206" s="8"/>
      <c r="E2206" s="8"/>
      <c r="F2206" s="8"/>
      <c r="G2206" s="8"/>
      <c r="H2206" s="8"/>
      <c r="I2206" s="9"/>
      <c r="J2206" s="9"/>
      <c r="K2206" s="18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customHeight="1">
      <c r="A2207" s="7"/>
      <c r="B2207" s="8"/>
      <c r="C2207" s="8"/>
      <c r="D2207" s="8"/>
      <c r="E2207" s="8"/>
      <c r="F2207" s="8"/>
      <c r="G2207" s="8"/>
      <c r="H2207" s="8"/>
      <c r="I2207" s="9"/>
      <c r="J2207" s="9"/>
      <c r="K2207" s="18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customHeight="1">
      <c r="A2208" s="7"/>
      <c r="B2208" s="8"/>
      <c r="C2208" s="8"/>
      <c r="D2208" s="8"/>
      <c r="E2208" s="8"/>
      <c r="F2208" s="8"/>
      <c r="G2208" s="8"/>
      <c r="H2208" s="8"/>
      <c r="I2208" s="9"/>
      <c r="J2208" s="9"/>
      <c r="K2208" s="18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4.25" customHeight="1">
      <c r="A2209" s="7"/>
      <c r="B2209" s="8"/>
      <c r="C2209" s="8"/>
      <c r="D2209" s="8"/>
      <c r="E2209" s="8"/>
      <c r="F2209" s="8"/>
      <c r="G2209" s="8"/>
      <c r="H2209" s="8"/>
      <c r="I2209" s="9"/>
      <c r="J2209" s="9"/>
      <c r="K2209" s="18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customHeight="1">
      <c r="A2210" s="7"/>
      <c r="B2210" s="8"/>
      <c r="C2210" s="8"/>
      <c r="D2210" s="8"/>
      <c r="E2210" s="8"/>
      <c r="F2210" s="8"/>
      <c r="G2210" s="8"/>
      <c r="H2210" s="8"/>
      <c r="I2210" s="9"/>
      <c r="J2210" s="9"/>
      <c r="K2210" s="18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customHeight="1">
      <c r="A2211" s="7"/>
      <c r="B2211" s="8"/>
      <c r="C2211" s="8"/>
      <c r="D2211" s="8"/>
      <c r="E2211" s="8"/>
      <c r="F2211" s="8"/>
      <c r="G2211" s="8"/>
      <c r="H2211" s="8"/>
      <c r="I2211" s="9"/>
      <c r="J2211" s="9"/>
      <c r="K2211" s="18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customHeight="1">
      <c r="A2212" s="7"/>
      <c r="B2212" s="8"/>
      <c r="C2212" s="8"/>
      <c r="D2212" s="8"/>
      <c r="E2212" s="8"/>
      <c r="F2212" s="8"/>
      <c r="G2212" s="8"/>
      <c r="H2212" s="8"/>
      <c r="I2212" s="9"/>
      <c r="J2212" s="9"/>
      <c r="K2212" s="18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customHeight="1">
      <c r="A2213" s="7"/>
      <c r="B2213" s="8"/>
      <c r="C2213" s="8"/>
      <c r="D2213" s="8"/>
      <c r="E2213" s="8"/>
      <c r="F2213" s="8"/>
      <c r="G2213" s="8"/>
      <c r="H2213" s="8"/>
      <c r="I2213" s="9"/>
      <c r="J2213" s="9"/>
      <c r="K2213" s="18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customHeight="1">
      <c r="A2214" s="7"/>
      <c r="B2214" s="8"/>
      <c r="C2214" s="8"/>
      <c r="D2214" s="8"/>
      <c r="E2214" s="8"/>
      <c r="F2214" s="8"/>
      <c r="G2214" s="8"/>
      <c r="H2214" s="8"/>
      <c r="I2214" s="9"/>
      <c r="J2214" s="9"/>
      <c r="K2214" s="18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customHeight="1">
      <c r="A2215" s="7"/>
      <c r="B2215" s="8"/>
      <c r="C2215" s="8"/>
      <c r="D2215" s="8"/>
      <c r="E2215" s="8"/>
      <c r="F2215" s="8"/>
      <c r="G2215" s="8"/>
      <c r="H2215" s="8"/>
      <c r="I2215" s="9"/>
      <c r="J2215" s="9"/>
      <c r="K2215" s="18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4.25" customHeight="1">
      <c r="A2216" s="7"/>
      <c r="B2216" s="8"/>
      <c r="C2216" s="8"/>
      <c r="D2216" s="8"/>
      <c r="E2216" s="8"/>
      <c r="F2216" s="8"/>
      <c r="G2216" s="8"/>
      <c r="H2216" s="8"/>
      <c r="I2216" s="9"/>
      <c r="J2216" s="9"/>
      <c r="K2216" s="18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customHeight="1">
      <c r="A2217" s="7"/>
      <c r="B2217" s="8"/>
      <c r="C2217" s="8"/>
      <c r="D2217" s="8"/>
      <c r="E2217" s="8"/>
      <c r="F2217" s="8"/>
      <c r="G2217" s="8"/>
      <c r="H2217" s="8"/>
      <c r="I2217" s="9"/>
      <c r="J2217" s="9"/>
      <c r="K2217" s="18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customHeight="1">
      <c r="A2218" s="7"/>
      <c r="B2218" s="8"/>
      <c r="C2218" s="8"/>
      <c r="D2218" s="8"/>
      <c r="E2218" s="8"/>
      <c r="F2218" s="8"/>
      <c r="G2218" s="8"/>
      <c r="H2218" s="8"/>
      <c r="I2218" s="9"/>
      <c r="J2218" s="9"/>
      <c r="K2218" s="18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customHeight="1">
      <c r="A2219" s="7"/>
      <c r="B2219" s="8"/>
      <c r="C2219" s="8"/>
      <c r="D2219" s="8"/>
      <c r="E2219" s="8"/>
      <c r="F2219" s="8"/>
      <c r="G2219" s="8"/>
      <c r="H2219" s="8"/>
      <c r="I2219" s="9"/>
      <c r="J2219" s="9"/>
      <c r="K2219" s="18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4.25" customHeight="1">
      <c r="A2220" s="7"/>
      <c r="B2220" s="8"/>
      <c r="C2220" s="8"/>
      <c r="D2220" s="8"/>
      <c r="E2220" s="8"/>
      <c r="F2220" s="8"/>
      <c r="G2220" s="8"/>
      <c r="H2220" s="8"/>
      <c r="I2220" s="9"/>
      <c r="J2220" s="9"/>
      <c r="K2220" s="18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customHeight="1">
      <c r="A2221" s="7"/>
      <c r="B2221" s="8"/>
      <c r="C2221" s="8"/>
      <c r="D2221" s="8"/>
      <c r="E2221" s="8"/>
      <c r="F2221" s="8"/>
      <c r="G2221" s="8"/>
      <c r="H2221" s="8"/>
      <c r="I2221" s="9"/>
      <c r="J2221" s="9"/>
      <c r="K2221" s="18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4.25" customHeight="1">
      <c r="A2222" s="7"/>
      <c r="B2222" s="8"/>
      <c r="C2222" s="8"/>
      <c r="D2222" s="8"/>
      <c r="E2222" s="8"/>
      <c r="F2222" s="8"/>
      <c r="G2222" s="8"/>
      <c r="H2222" s="8"/>
      <c r="I2222" s="9"/>
      <c r="J2222" s="9"/>
      <c r="K2222" s="18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customHeight="1">
      <c r="A2223" s="7"/>
      <c r="B2223" s="8"/>
      <c r="C2223" s="8"/>
      <c r="D2223" s="8"/>
      <c r="E2223" s="8"/>
      <c r="F2223" s="8"/>
      <c r="G2223" s="8"/>
      <c r="H2223" s="8"/>
      <c r="I2223" s="9"/>
      <c r="J2223" s="9"/>
      <c r="K2223" s="18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customHeight="1">
      <c r="A2224" s="7"/>
      <c r="B2224" s="8"/>
      <c r="C2224" s="8"/>
      <c r="D2224" s="8"/>
      <c r="E2224" s="8"/>
      <c r="F2224" s="8"/>
      <c r="G2224" s="8"/>
      <c r="H2224" s="8"/>
      <c r="I2224" s="9"/>
      <c r="J2224" s="9"/>
      <c r="K2224" s="18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customHeight="1">
      <c r="A2225" s="7"/>
      <c r="B2225" s="8"/>
      <c r="C2225" s="8"/>
      <c r="D2225" s="8"/>
      <c r="E2225" s="8"/>
      <c r="F2225" s="8"/>
      <c r="G2225" s="8"/>
      <c r="H2225" s="8"/>
      <c r="I2225" s="9"/>
      <c r="J2225" s="9"/>
      <c r="K2225" s="18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customHeight="1">
      <c r="A2226" s="7"/>
      <c r="B2226" s="8"/>
      <c r="C2226" s="8"/>
      <c r="D2226" s="8"/>
      <c r="E2226" s="8"/>
      <c r="F2226" s="8"/>
      <c r="G2226" s="8"/>
      <c r="H2226" s="8"/>
      <c r="I2226" s="9"/>
      <c r="J2226" s="9"/>
      <c r="K2226" s="18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customHeight="1">
      <c r="A2227" s="7"/>
      <c r="B2227" s="8"/>
      <c r="C2227" s="8"/>
      <c r="D2227" s="8"/>
      <c r="E2227" s="8"/>
      <c r="F2227" s="8"/>
      <c r="G2227" s="8"/>
      <c r="H2227" s="8"/>
      <c r="I2227" s="9"/>
      <c r="J2227" s="9"/>
      <c r="K2227" s="18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4.25" customHeight="1">
      <c r="A2228" s="7"/>
      <c r="B2228" s="8"/>
      <c r="C2228" s="8"/>
      <c r="D2228" s="8"/>
      <c r="E2228" s="8"/>
      <c r="F2228" s="8"/>
      <c r="G2228" s="8"/>
      <c r="H2228" s="8"/>
      <c r="I2228" s="9"/>
      <c r="J2228" s="9"/>
      <c r="K2228" s="18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customHeight="1">
      <c r="A2229" s="7"/>
      <c r="B2229" s="8"/>
      <c r="C2229" s="8"/>
      <c r="D2229" s="8"/>
      <c r="E2229" s="8"/>
      <c r="F2229" s="8"/>
      <c r="G2229" s="8"/>
      <c r="H2229" s="8"/>
      <c r="I2229" s="9"/>
      <c r="J2229" s="9"/>
      <c r="K2229" s="18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customHeight="1">
      <c r="A2230" s="7"/>
      <c r="B2230" s="8"/>
      <c r="C2230" s="8"/>
      <c r="D2230" s="8"/>
      <c r="E2230" s="8"/>
      <c r="F2230" s="8"/>
      <c r="G2230" s="8"/>
      <c r="H2230" s="8"/>
      <c r="I2230" s="9"/>
      <c r="J2230" s="9"/>
      <c r="K2230" s="18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customHeight="1">
      <c r="A2231" s="7"/>
      <c r="B2231" s="8"/>
      <c r="C2231" s="8"/>
      <c r="D2231" s="8"/>
      <c r="E2231" s="8"/>
      <c r="F2231" s="8"/>
      <c r="G2231" s="8"/>
      <c r="H2231" s="8"/>
      <c r="I2231" s="9"/>
      <c r="J2231" s="9"/>
      <c r="K2231" s="18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customHeight="1">
      <c r="A2232" s="7"/>
      <c r="B2232" s="8"/>
      <c r="C2232" s="8"/>
      <c r="D2232" s="8"/>
      <c r="E2232" s="8"/>
      <c r="F2232" s="8"/>
      <c r="G2232" s="8"/>
      <c r="H2232" s="8"/>
      <c r="I2232" s="9"/>
      <c r="J2232" s="9"/>
      <c r="K2232" s="18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customHeight="1">
      <c r="A2233" s="7"/>
      <c r="B2233" s="8"/>
      <c r="C2233" s="8"/>
      <c r="D2233" s="8"/>
      <c r="E2233" s="8"/>
      <c r="F2233" s="8"/>
      <c r="G2233" s="8"/>
      <c r="H2233" s="8"/>
      <c r="I2233" s="9"/>
      <c r="J2233" s="9"/>
      <c r="K2233" s="18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4.25" customHeight="1">
      <c r="A2234" s="7"/>
      <c r="B2234" s="8"/>
      <c r="C2234" s="8"/>
      <c r="D2234" s="8"/>
      <c r="E2234" s="8"/>
      <c r="F2234" s="8"/>
      <c r="G2234" s="8"/>
      <c r="H2234" s="8"/>
      <c r="I2234" s="9"/>
      <c r="J2234" s="9"/>
      <c r="K2234" s="18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customHeight="1">
      <c r="A2235" s="7"/>
      <c r="B2235" s="8"/>
      <c r="C2235" s="8"/>
      <c r="D2235" s="8"/>
      <c r="E2235" s="8"/>
      <c r="F2235" s="8"/>
      <c r="G2235" s="8"/>
      <c r="H2235" s="8"/>
      <c r="I2235" s="9"/>
      <c r="J2235" s="9"/>
      <c r="K2235" s="18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4.25" customHeight="1">
      <c r="A2236" s="7"/>
      <c r="B2236" s="8"/>
      <c r="C2236" s="8"/>
      <c r="D2236" s="8"/>
      <c r="E2236" s="8"/>
      <c r="F2236" s="8"/>
      <c r="G2236" s="8"/>
      <c r="H2236" s="8"/>
      <c r="I2236" s="9"/>
      <c r="J2236" s="9"/>
      <c r="K2236" s="18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customHeight="1">
      <c r="A2237" s="7"/>
      <c r="B2237" s="8"/>
      <c r="C2237" s="8"/>
      <c r="D2237" s="8"/>
      <c r="E2237" s="8"/>
      <c r="F2237" s="8"/>
      <c r="G2237" s="8"/>
      <c r="H2237" s="8"/>
      <c r="I2237" s="9"/>
      <c r="J2237" s="9"/>
      <c r="K2237" s="18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customHeight="1">
      <c r="A2238" s="7"/>
      <c r="B2238" s="8"/>
      <c r="C2238" s="8"/>
      <c r="D2238" s="8"/>
      <c r="E2238" s="8"/>
      <c r="F2238" s="8"/>
      <c r="G2238" s="8"/>
      <c r="H2238" s="8"/>
      <c r="I2238" s="9"/>
      <c r="J2238" s="9"/>
      <c r="K2238" s="18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customHeight="1">
      <c r="A2239" s="7"/>
      <c r="B2239" s="8"/>
      <c r="C2239" s="8"/>
      <c r="D2239" s="8"/>
      <c r="E2239" s="8"/>
      <c r="F2239" s="8"/>
      <c r="G2239" s="8"/>
      <c r="H2239" s="8"/>
      <c r="I2239" s="9"/>
      <c r="J2239" s="9"/>
      <c r="K2239" s="18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customHeight="1">
      <c r="A2240" s="7"/>
      <c r="B2240" s="8"/>
      <c r="C2240" s="8"/>
      <c r="D2240" s="8"/>
      <c r="E2240" s="8"/>
      <c r="F2240" s="8"/>
      <c r="G2240" s="8"/>
      <c r="H2240" s="8"/>
      <c r="I2240" s="9"/>
      <c r="J2240" s="9"/>
      <c r="K2240" s="18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customHeight="1">
      <c r="A2241" s="7"/>
      <c r="B2241" s="8"/>
      <c r="C2241" s="8"/>
      <c r="D2241" s="8"/>
      <c r="E2241" s="8"/>
      <c r="F2241" s="8"/>
      <c r="G2241" s="8"/>
      <c r="H2241" s="8"/>
      <c r="I2241" s="9"/>
      <c r="J2241" s="9"/>
      <c r="K2241" s="18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customHeight="1">
      <c r="A2242" s="7"/>
      <c r="B2242" s="8"/>
      <c r="C2242" s="8"/>
      <c r="D2242" s="8"/>
      <c r="E2242" s="8"/>
      <c r="F2242" s="8"/>
      <c r="G2242" s="8"/>
      <c r="H2242" s="8"/>
      <c r="I2242" s="9"/>
      <c r="J2242" s="9"/>
      <c r="K2242" s="18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4.25" customHeight="1">
      <c r="A2243" s="7"/>
      <c r="B2243" s="8"/>
      <c r="C2243" s="8"/>
      <c r="D2243" s="8"/>
      <c r="E2243" s="8"/>
      <c r="F2243" s="8"/>
      <c r="G2243" s="8"/>
      <c r="H2243" s="8"/>
      <c r="I2243" s="9"/>
      <c r="J2243" s="9"/>
      <c r="K2243" s="18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customHeight="1">
      <c r="A2244" s="7"/>
      <c r="B2244" s="8"/>
      <c r="C2244" s="8"/>
      <c r="D2244" s="8"/>
      <c r="E2244" s="8"/>
      <c r="F2244" s="8"/>
      <c r="G2244" s="8"/>
      <c r="H2244" s="8"/>
      <c r="I2244" s="9"/>
      <c r="J2244" s="9"/>
      <c r="K2244" s="18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customHeight="1">
      <c r="A2245" s="7"/>
      <c r="B2245" s="8"/>
      <c r="C2245" s="8"/>
      <c r="D2245" s="8"/>
      <c r="E2245" s="8"/>
      <c r="F2245" s="8"/>
      <c r="G2245" s="8"/>
      <c r="H2245" s="8"/>
      <c r="I2245" s="9"/>
      <c r="J2245" s="9"/>
      <c r="K2245" s="18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4.25" customHeight="1">
      <c r="A2246" s="7"/>
      <c r="B2246" s="8"/>
      <c r="C2246" s="8"/>
      <c r="D2246" s="8"/>
      <c r="E2246" s="8"/>
      <c r="F2246" s="8"/>
      <c r="G2246" s="8"/>
      <c r="H2246" s="8"/>
      <c r="I2246" s="9"/>
      <c r="J2246" s="9"/>
      <c r="K2246" s="18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customHeight="1">
      <c r="A2247" s="7"/>
      <c r="B2247" s="8"/>
      <c r="C2247" s="8"/>
      <c r="D2247" s="8"/>
      <c r="E2247" s="8"/>
      <c r="F2247" s="8"/>
      <c r="G2247" s="8"/>
      <c r="H2247" s="8"/>
      <c r="I2247" s="9"/>
      <c r="J2247" s="9"/>
      <c r="K2247" s="18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4.25" customHeight="1">
      <c r="A2248" s="7"/>
      <c r="B2248" s="8"/>
      <c r="C2248" s="8"/>
      <c r="D2248" s="8"/>
      <c r="E2248" s="8"/>
      <c r="F2248" s="8"/>
      <c r="G2248" s="8"/>
      <c r="H2248" s="8"/>
      <c r="I2248" s="9"/>
      <c r="J2248" s="9"/>
      <c r="K2248" s="18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</sheetData>
  <mergeCells count="1">
    <mergeCell ref="A1:J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35.86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3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tr">
        <f>IFERROR(__xludf.DUMMYFUNCTION("query('WOMENS A  AA'!A2:L1146,""select A, B, C, D, E, F, G, H, I, J, K WHERE L = 4 ORDER BY A ASC"",1)"),"LAST")</f>
        <v>LAST</v>
      </c>
      <c r="B2" s="5" t="str">
        <f>IFERROR(__xludf.DUMMYFUNCTION("""COMPUTED_VALUE"""),"FIRST")</f>
        <v>FIRST</v>
      </c>
      <c r="C2" s="5" t="str">
        <f>IFERROR(__xludf.DUMMYFUNCTION("""COMPUTED_VALUE"""),"CITY")</f>
        <v>CITY</v>
      </c>
      <c r="D2" s="5" t="str">
        <f>IFERROR(__xludf.DUMMYFUNCTION("""COMPUTED_VALUE"""),"STATE")</f>
        <v>STATE</v>
      </c>
      <c r="E2" s="5" t="str">
        <f>IFERROR(__xludf.DUMMYFUNCTION("""COMPUTED_VALUE"""),"COUNTRY")</f>
        <v>COUNTRY</v>
      </c>
      <c r="F2" s="5" t="str">
        <f>IFERROR(__xludf.DUMMYFUNCTION("""COMPUTED_VALUE"""),"EVENT")</f>
        <v>EVENT</v>
      </c>
      <c r="G2" s="5" t="str">
        <f>IFERROR(__xludf.DUMMYFUNCTION("""COMPUTED_VALUE"""),"PLACE")</f>
        <v>PLACE</v>
      </c>
      <c r="H2" s="5" t="str">
        <f>IFERROR(__xludf.DUMMYFUNCTION("""COMPUTED_VALUE"""),"LOCATION")</f>
        <v>LOCATION</v>
      </c>
      <c r="I2" s="5" t="str">
        <f>IFERROR(__xludf.DUMMYFUNCTION("""COMPUTED_VALUE"""),"ON LIST")</f>
        <v>ON LIST</v>
      </c>
      <c r="J2" s="5" t="str">
        <f>IFERROR(__xludf.DUMMYFUNCTION("""COMPUTED_VALUE"""),"OFF AA LIST")</f>
        <v>OFF AA LIST</v>
      </c>
      <c r="K2" s="5" t="str">
        <f>IFERROR(__xludf.DUMMYFUNCTION("""COMPUTED_VALUE"""),"OFF A LIST")</f>
        <v>OFF A LIST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17" t="str">
        <f>IFERROR(__xludf.DUMMYFUNCTION("""COMPUTED_VALUE"""),"ALEXANDER")</f>
        <v>ALEXANDER</v>
      </c>
      <c r="B3" s="8" t="str">
        <f>IFERROR(__xludf.DUMMYFUNCTION("""COMPUTED_VALUE"""),"ALICIA")</f>
        <v>ALICIA</v>
      </c>
      <c r="C3" s="8" t="str">
        <f>IFERROR(__xludf.DUMMYFUNCTION("""COMPUTED_VALUE"""),"HOUSTON")</f>
        <v>HOUSTON</v>
      </c>
      <c r="D3" s="8" t="str">
        <f>IFERROR(__xludf.DUMMYFUNCTION("""COMPUTED_VALUE"""),"TX")</f>
        <v>TX</v>
      </c>
      <c r="E3" s="8" t="str">
        <f>IFERROR(__xludf.DUMMYFUNCTION("""COMPUTED_VALUE"""),"USA")</f>
        <v>USA</v>
      </c>
      <c r="F3" s="8" t="str">
        <f>IFERROR(__xludf.DUMMYFUNCTION("""COMPUTED_VALUE"""),"WOMEN DBLS COMBO")</f>
        <v>WOMEN DBLS COMBO</v>
      </c>
      <c r="G3" s="8" t="str">
        <f>IFERROR(__xludf.DUMMYFUNCTION("""COMPUTED_VALUE"""),"3RD")</f>
        <v>3RD</v>
      </c>
      <c r="H3" s="8" t="str">
        <f>IFERROR(__xludf.DUMMYFUNCTION("""COMPUTED_VALUE"""),"SC REGIONAL BS 38")</f>
        <v>SC REGIONAL BS 38</v>
      </c>
      <c r="I3" s="9">
        <f>IFERROR(__xludf.DUMMYFUNCTION("""COMPUTED_VALUE"""),45444.0)</f>
        <v>45444</v>
      </c>
      <c r="J3" s="9">
        <f>IFERROR(__xludf.DUMMYFUNCTION("""COMPUTED_VALUE"""),46174.0)</f>
        <v>46174</v>
      </c>
      <c r="K3" s="13">
        <f>IFERROR(__xludf.DUMMYFUNCTION("""COMPUTED_VALUE"""),47270.0)</f>
        <v>47270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7" t="str">
        <f>IFERROR(__xludf.DUMMYFUNCTION("""COMPUTED_VALUE"""),"Almeida")</f>
        <v>Almeida</v>
      </c>
      <c r="B4" s="8" t="str">
        <f>IFERROR(__xludf.DUMMYFUNCTION("""COMPUTED_VALUE"""),"Taylor")</f>
        <v>Taylor</v>
      </c>
      <c r="C4" s="8"/>
      <c r="D4" s="8"/>
      <c r="E4" s="8"/>
      <c r="F4" s="8" t="str">
        <f>IFERROR(__xludf.DUMMYFUNCTION("""COMPUTED_VALUE"""),"ADO List 2024")</f>
        <v>ADO List 2024</v>
      </c>
      <c r="G4" s="8"/>
      <c r="H4" s="8"/>
      <c r="I4" s="9">
        <f>IFERROR(__xludf.DUMMYFUNCTION("""COMPUTED_VALUE"""),45444.0)</f>
        <v>45444</v>
      </c>
      <c r="J4" s="9">
        <f>IFERROR(__xludf.DUMMYFUNCTION("""COMPUTED_VALUE"""),46539.0)</f>
        <v>46539</v>
      </c>
      <c r="K4" s="13">
        <f>IFERROR(__xludf.DUMMYFUNCTION("""COMPUTED_VALUE"""),47635.0)</f>
        <v>47635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1" t="str">
        <f>IFERROR(__xludf.DUMMYFUNCTION("""COMPUTED_VALUE"""),"BATES")</f>
        <v>BATES</v>
      </c>
      <c r="B5" s="12" t="str">
        <f>IFERROR(__xludf.DUMMYFUNCTION("""COMPUTED_VALUE"""),"KASEY")</f>
        <v>KASEY</v>
      </c>
      <c r="C5" s="12" t="str">
        <f>IFERROR(__xludf.DUMMYFUNCTION("""COMPUTED_VALUE"""),"HANCOCK")</f>
        <v>HANCOCK</v>
      </c>
      <c r="D5" s="12" t="str">
        <f>IFERROR(__xludf.DUMMYFUNCTION("""COMPUTED_VALUE"""),"WI")</f>
        <v>WI</v>
      </c>
      <c r="E5" s="12" t="str">
        <f>IFERROR(__xludf.DUMMYFUNCTION("""COMPUTED_VALUE"""),"USA")</f>
        <v>USA</v>
      </c>
      <c r="F5" s="12" t="str">
        <f>IFERROR(__xludf.DUMMYFUNCTION("""COMPUTED_VALUE"""),"WOMEN A DBLS CRICKET")</f>
        <v>WOMEN A DBLS CRICKET</v>
      </c>
      <c r="G5" s="12" t="str">
        <f>IFERROR(__xludf.DUMMYFUNCTION("""COMPUTED_VALUE"""),"1ST")</f>
        <v>1ST</v>
      </c>
      <c r="H5" s="12" t="str">
        <f>IFERROR(__xludf.DUMMYFUNCTION("""COMPUTED_VALUE"""),"BS 38 FINALS")</f>
        <v>BS 38 FINALS</v>
      </c>
      <c r="I5" s="14">
        <f>IFERROR(__xludf.DUMMYFUNCTION("""COMPUTED_VALUE"""),45444.0)</f>
        <v>45444</v>
      </c>
      <c r="J5" s="14">
        <f>IFERROR(__xludf.DUMMYFUNCTION("""COMPUTED_VALUE"""),46539.0)</f>
        <v>46539</v>
      </c>
      <c r="K5" s="13">
        <f>IFERROR(__xludf.DUMMYFUNCTION("""COMPUTED_VALUE"""),47635.0)</f>
        <v>47635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7" t="str">
        <f>IFERROR(__xludf.DUMMYFUNCTION("""COMPUTED_VALUE"""),"Beard")</f>
        <v>Beard</v>
      </c>
      <c r="B6" s="8" t="str">
        <f>IFERROR(__xludf.DUMMYFUNCTION("""COMPUTED_VALUE"""),"Kaylee")</f>
        <v>Kaylee</v>
      </c>
      <c r="C6" s="8" t="str">
        <f>IFERROR(__xludf.DUMMYFUNCTION("""COMPUTED_VALUE"""),"Orlando")</f>
        <v>Orlando</v>
      </c>
      <c r="D6" s="8" t="str">
        <f>IFERROR(__xludf.DUMMYFUNCTION("""COMPUTED_VALUE"""),"FL")</f>
        <v>FL</v>
      </c>
      <c r="E6" s="8" t="str">
        <f>IFERROR(__xludf.DUMMYFUNCTION("""COMPUTED_VALUE"""),"USA")</f>
        <v>USA</v>
      </c>
      <c r="F6" s="8" t="str">
        <f>IFERROR(__xludf.DUMMYFUNCTION("""COMPUTED_VALUE"""),"WOMENS A DBLS 501")</f>
        <v>WOMENS A DBLS 501</v>
      </c>
      <c r="G6" s="8" t="str">
        <f>IFERROR(__xludf.DUMMYFUNCTION("""COMPUTED_VALUE"""),"4TH")</f>
        <v>4TH</v>
      </c>
      <c r="H6" s="8" t="str">
        <f>IFERROR(__xludf.DUMMYFUNCTION("""COMPUTED_VALUE"""),"BULLSHOOTER 36 FINALS")</f>
        <v>BULLSHOOTER 36 FINALS</v>
      </c>
      <c r="I6" s="9">
        <f>IFERROR(__xludf.DUMMYFUNCTION("""COMPUTED_VALUE"""),44713.0)</f>
        <v>44713</v>
      </c>
      <c r="J6" s="9">
        <f>IFERROR(__xludf.DUMMYFUNCTION("""COMPUTED_VALUE"""),45809.0)</f>
        <v>45809</v>
      </c>
      <c r="K6" s="13">
        <f>IFERROR(__xludf.DUMMYFUNCTION("""COMPUTED_VALUE"""),46905.0)</f>
        <v>46905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7" t="str">
        <f>IFERROR(__xludf.DUMMYFUNCTION("""COMPUTED_VALUE"""),"Bencic")</f>
        <v>Bencic</v>
      </c>
      <c r="B7" s="8" t="str">
        <f>IFERROR(__xludf.DUMMYFUNCTION("""COMPUTED_VALUE"""),"Tanja")</f>
        <v>Tanja</v>
      </c>
      <c r="C7" s="8" t="str">
        <f>IFERROR(__xludf.DUMMYFUNCTION("""COMPUTED_VALUE"""),"LITTLETON")</f>
        <v>LITTLETON</v>
      </c>
      <c r="D7" s="8" t="str">
        <f>IFERROR(__xludf.DUMMYFUNCTION("""COMPUTED_VALUE"""),"CO")</f>
        <v>CO</v>
      </c>
      <c r="E7" s="8" t="str">
        <f>IFERROR(__xludf.DUMMYFUNCTION("""COMPUTED_VALUE"""),"USA")</f>
        <v>USA</v>
      </c>
      <c r="F7" s="8" t="str">
        <f>IFERROR(__xludf.DUMMYFUNCTION("""COMPUTED_VALUE"""),"ADO List 2024")</f>
        <v>ADO List 2024</v>
      </c>
      <c r="G7" s="8"/>
      <c r="H7" s="8"/>
      <c r="I7" s="9">
        <f>IFERROR(__xludf.DUMMYFUNCTION("""COMPUTED_VALUE"""),45444.0)</f>
        <v>45444</v>
      </c>
      <c r="J7" s="9">
        <f>IFERROR(__xludf.DUMMYFUNCTION("""COMPUTED_VALUE"""),46539.0)</f>
        <v>46539</v>
      </c>
      <c r="K7" s="13">
        <f>IFERROR(__xludf.DUMMYFUNCTION("""COMPUTED_VALUE"""),47635.0)</f>
        <v>47635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7" t="str">
        <f>IFERROR(__xludf.DUMMYFUNCTION("""COMPUTED_VALUE"""),"Boyke")</f>
        <v>Boyke</v>
      </c>
      <c r="B8" s="8" t="str">
        <f>IFERROR(__xludf.DUMMYFUNCTION("""COMPUTED_VALUE"""),"Justine")</f>
        <v>Justine</v>
      </c>
      <c r="C8" s="8" t="str">
        <f>IFERROR(__xludf.DUMMYFUNCTION("""COMPUTED_VALUE"""),"Pingree Grove")</f>
        <v>Pingree Grove</v>
      </c>
      <c r="D8" s="8" t="str">
        <f>IFERROR(__xludf.DUMMYFUNCTION("""COMPUTED_VALUE"""),"IL")</f>
        <v>IL</v>
      </c>
      <c r="E8" s="8" t="str">
        <f>IFERROR(__xludf.DUMMYFUNCTION("""COMPUTED_VALUE"""),"USA")</f>
        <v>USA</v>
      </c>
      <c r="F8" s="8" t="str">
        <f>IFERROR(__xludf.DUMMYFUNCTION("""COMPUTED_VALUE"""),"WOMEN A DBLS CRICKET")</f>
        <v>WOMEN A DBLS CRICKET</v>
      </c>
      <c r="G8" s="8" t="str">
        <f>IFERROR(__xludf.DUMMYFUNCTION("""COMPUTED_VALUE"""),"2ND")</f>
        <v>2ND</v>
      </c>
      <c r="H8" s="8" t="str">
        <f>IFERROR(__xludf.DUMMYFUNCTION("""COMPUTED_VALUE"""),"BS 38 FINALS")</f>
        <v>BS 38 FINALS</v>
      </c>
      <c r="I8" s="9">
        <f>IFERROR(__xludf.DUMMYFUNCTION("""COMPUTED_VALUE"""),45444.0)</f>
        <v>45444</v>
      </c>
      <c r="J8" s="9">
        <f>IFERROR(__xludf.DUMMYFUNCTION("""COMPUTED_VALUE"""),46539.0)</f>
        <v>46539</v>
      </c>
      <c r="K8" s="13">
        <f>IFERROR(__xludf.DUMMYFUNCTION("""COMPUTED_VALUE"""),47635.0)</f>
        <v>47635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7" t="str">
        <f>IFERROR(__xludf.DUMMYFUNCTION("""COMPUTED_VALUE"""),"BRAND")</f>
        <v>BRAND</v>
      </c>
      <c r="B9" s="8" t="str">
        <f>IFERROR(__xludf.DUMMYFUNCTION("""COMPUTED_VALUE"""),"MARY")</f>
        <v>MARY</v>
      </c>
      <c r="C9" s="8" t="str">
        <f>IFERROR(__xludf.DUMMYFUNCTION("""COMPUTED_VALUE"""),"MCHENRY")</f>
        <v>MCHENRY</v>
      </c>
      <c r="D9" s="8" t="str">
        <f>IFERROR(__xludf.DUMMYFUNCTION("""COMPUTED_VALUE"""),"IL")</f>
        <v>IL</v>
      </c>
      <c r="E9" s="8" t="str">
        <f>IFERROR(__xludf.DUMMYFUNCTION("""COMPUTED_VALUE"""),"USA")</f>
        <v>USA</v>
      </c>
      <c r="F9" s="8" t="str">
        <f>IFERROR(__xludf.DUMMYFUNCTION("""COMPUTED_VALUE"""),"WOMENS AA DBLS 501")</f>
        <v>WOMENS AA DBLS 501</v>
      </c>
      <c r="G9" s="8" t="str">
        <f>IFERROR(__xludf.DUMMYFUNCTION("""COMPUTED_VALUE"""),"3RD")</f>
        <v>3RD</v>
      </c>
      <c r="H9" s="8" t="str">
        <f>IFERROR(__xludf.DUMMYFUNCTION("""COMPUTED_VALUE"""),"BULLSHOOTER 36 FINALS")</f>
        <v>BULLSHOOTER 36 FINALS</v>
      </c>
      <c r="I9" s="9">
        <f>IFERROR(__xludf.DUMMYFUNCTION("""COMPUTED_VALUE"""),44713.0)</f>
        <v>44713</v>
      </c>
      <c r="J9" s="9">
        <f>IFERROR(__xludf.DUMMYFUNCTION("""COMPUTED_VALUE"""),45809.0)</f>
        <v>45809</v>
      </c>
      <c r="K9" s="13">
        <f>IFERROR(__xludf.DUMMYFUNCTION("""COMPUTED_VALUE"""),46905.0)</f>
        <v>46905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7" t="str">
        <f>IFERROR(__xludf.DUMMYFUNCTION("""COMPUTED_VALUE"""),"BUDDEN")</f>
        <v>BUDDEN</v>
      </c>
      <c r="B10" s="8" t="str">
        <f>IFERROR(__xludf.DUMMYFUNCTION("""COMPUTED_VALUE"""),"RAEGAN")</f>
        <v>RAEGAN</v>
      </c>
      <c r="C10" s="8" t="str">
        <f>IFERROR(__xludf.DUMMYFUNCTION("""COMPUTED_VALUE"""),"FREEPORT")</f>
        <v>FREEPORT</v>
      </c>
      <c r="D10" s="8" t="str">
        <f>IFERROR(__xludf.DUMMYFUNCTION("""COMPUTED_VALUE"""),"IL")</f>
        <v>IL</v>
      </c>
      <c r="E10" s="8" t="str">
        <f>IFERROR(__xludf.DUMMYFUNCTION("""COMPUTED_VALUE"""),"USA")</f>
        <v>USA</v>
      </c>
      <c r="F10" s="8" t="str">
        <f>IFERROR(__xludf.DUMMYFUNCTION("""COMPUTED_VALUE"""),"WOMEN AA DBLS 501")</f>
        <v>WOMEN AA DBLS 501</v>
      </c>
      <c r="G10" s="8" t="str">
        <f>IFERROR(__xludf.DUMMYFUNCTION("""COMPUTED_VALUE"""),"4TH")</f>
        <v>4TH</v>
      </c>
      <c r="H10" s="8" t="str">
        <f>IFERROR(__xludf.DUMMYFUNCTION("""COMPUTED_VALUE"""),"BS 38 FINALS")</f>
        <v>BS 38 FINALS</v>
      </c>
      <c r="I10" s="9">
        <f>IFERROR(__xludf.DUMMYFUNCTION("""COMPUTED_VALUE"""),45444.0)</f>
        <v>45444</v>
      </c>
      <c r="J10" s="9">
        <f>IFERROR(__xludf.DUMMYFUNCTION("""COMPUTED_VALUE"""),46539.0)</f>
        <v>46539</v>
      </c>
      <c r="K10" s="13">
        <f>IFERROR(__xludf.DUMMYFUNCTION("""COMPUTED_VALUE"""),47635.0)</f>
        <v>47635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11" t="str">
        <f>IFERROR(__xludf.DUMMYFUNCTION("""COMPUTED_VALUE"""),"BUTTS")</f>
        <v>BUTTS</v>
      </c>
      <c r="B11" s="12" t="str">
        <f>IFERROR(__xludf.DUMMYFUNCTION("""COMPUTED_VALUE"""),"JENNIFER")</f>
        <v>JENNIFER</v>
      </c>
      <c r="C11" s="12" t="str">
        <f>IFERROR(__xludf.DUMMYFUNCTION("""COMPUTED_VALUE"""),"DEKALB")</f>
        <v>DEKALB</v>
      </c>
      <c r="D11" s="12" t="str">
        <f>IFERROR(__xludf.DUMMYFUNCTION("""COMPUTED_VALUE"""),"IL")</f>
        <v>IL</v>
      </c>
      <c r="E11" s="12" t="str">
        <f>IFERROR(__xludf.DUMMYFUNCTION("""COMPUTED_VALUE"""),"USA")</f>
        <v>USA</v>
      </c>
      <c r="F11" s="12" t="str">
        <f>IFERROR(__xludf.DUMMYFUNCTION("""COMPUTED_VALUE"""),"WOMEN AA DBLS 501")</f>
        <v>WOMEN AA DBLS 501</v>
      </c>
      <c r="G11" s="12" t="str">
        <f>IFERROR(__xludf.DUMMYFUNCTION("""COMPUTED_VALUE"""),"4TH")</f>
        <v>4TH</v>
      </c>
      <c r="H11" s="12" t="str">
        <f>IFERROR(__xludf.DUMMYFUNCTION("""COMPUTED_VALUE"""),"BS 38 FINALS")</f>
        <v>BS 38 FINALS</v>
      </c>
      <c r="I11" s="14">
        <f>IFERROR(__xludf.DUMMYFUNCTION("""COMPUTED_VALUE"""),45444.0)</f>
        <v>45444</v>
      </c>
      <c r="J11" s="14">
        <f>IFERROR(__xludf.DUMMYFUNCTION("""COMPUTED_VALUE"""),46539.0)</f>
        <v>46539</v>
      </c>
      <c r="K11" s="13">
        <f>IFERROR(__xludf.DUMMYFUNCTION("""COMPUTED_VALUE"""),47635.0)</f>
        <v>47635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7" t="str">
        <f>IFERROR(__xludf.DUMMYFUNCTION("""COMPUTED_VALUE"""),"CARLI")</f>
        <v>CARLI</v>
      </c>
      <c r="B12" s="8" t="str">
        <f>IFERROR(__xludf.DUMMYFUNCTION("""COMPUTED_VALUE"""),"MARISSA")</f>
        <v>MARISSA</v>
      </c>
      <c r="C12" s="8" t="str">
        <f>IFERROR(__xludf.DUMMYFUNCTION("""COMPUTED_VALUE"""),"SHAKESPEARE")</f>
        <v>SHAKESPEARE</v>
      </c>
      <c r="D12" s="8" t="str">
        <f>IFERROR(__xludf.DUMMYFUNCTION("""COMPUTED_VALUE"""),"ONT")</f>
        <v>ONT</v>
      </c>
      <c r="E12" s="8" t="str">
        <f>IFERROR(__xludf.DUMMYFUNCTION("""COMPUTED_VALUE"""),"CANADA")</f>
        <v>CANADA</v>
      </c>
      <c r="F12" s="8" t="str">
        <f>IFERROR(__xludf.DUMMYFUNCTION("""COMPUTED_VALUE"""),"TopGun Women AA")</f>
        <v>TopGun Women AA</v>
      </c>
      <c r="G12" s="8" t="str">
        <f>IFERROR(__xludf.DUMMYFUNCTION("""COMPUTED_VALUE"""),"3-4th")</f>
        <v>3-4th</v>
      </c>
      <c r="H12" s="8" t="str">
        <f>IFERROR(__xludf.DUMMYFUNCTION("""COMPUTED_VALUE"""),"BS 38 Finals")</f>
        <v>BS 38 Finals</v>
      </c>
      <c r="I12" s="9">
        <f>IFERROR(__xludf.DUMMYFUNCTION("""COMPUTED_VALUE"""),45078.0)</f>
        <v>45078</v>
      </c>
      <c r="J12" s="9">
        <f>IFERROR(__xludf.DUMMYFUNCTION("""COMPUTED_VALUE"""),46539.0)</f>
        <v>46539</v>
      </c>
      <c r="K12" s="13">
        <f>IFERROR(__xludf.DUMMYFUNCTION("""COMPUTED_VALUE"""),47635.0)</f>
        <v>47635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7" t="str">
        <f>IFERROR(__xludf.DUMMYFUNCTION("""COMPUTED_VALUE"""),"Carpenter")</f>
        <v>Carpenter</v>
      </c>
      <c r="B13" s="8" t="str">
        <f>IFERROR(__xludf.DUMMYFUNCTION("""COMPUTED_VALUE"""),"Jennifer")</f>
        <v>Jennifer</v>
      </c>
      <c r="C13" s="8" t="str">
        <f>IFERROR(__xludf.DUMMYFUNCTION("""COMPUTED_VALUE"""),"Rockford")</f>
        <v>Rockford</v>
      </c>
      <c r="D13" s="8" t="str">
        <f>IFERROR(__xludf.DUMMYFUNCTION("""COMPUTED_VALUE"""),"IL")</f>
        <v>IL</v>
      </c>
      <c r="E13" s="8" t="str">
        <f>IFERROR(__xludf.DUMMYFUNCTION("""COMPUTED_VALUE"""),"USA")</f>
        <v>USA</v>
      </c>
      <c r="F13" s="8" t="str">
        <f>IFERROR(__xludf.DUMMYFUNCTION("""COMPUTED_VALUE"""),"WOMENS AA DBLS 501")</f>
        <v>WOMENS AA DBLS 501</v>
      </c>
      <c r="G13" s="8" t="str">
        <f>IFERROR(__xludf.DUMMYFUNCTION("""COMPUTED_VALUE"""),"4TH")</f>
        <v>4TH</v>
      </c>
      <c r="H13" s="8" t="str">
        <f>IFERROR(__xludf.DUMMYFUNCTION("""COMPUTED_VALUE"""),"BULLSHOOTER 36 FINALS")</f>
        <v>BULLSHOOTER 36 FINALS</v>
      </c>
      <c r="I13" s="9">
        <f>IFERROR(__xludf.DUMMYFUNCTION("""COMPUTED_VALUE"""),44713.0)</f>
        <v>44713</v>
      </c>
      <c r="J13" s="9">
        <f>IFERROR(__xludf.DUMMYFUNCTION("""COMPUTED_VALUE"""),45809.0)</f>
        <v>45809</v>
      </c>
      <c r="K13" s="13">
        <f>IFERROR(__xludf.DUMMYFUNCTION("""COMPUTED_VALUE"""),46905.0)</f>
        <v>46905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7" t="str">
        <f>IFERROR(__xludf.DUMMYFUNCTION("""COMPUTED_VALUE"""),"CERVANTES-BOBO")</f>
        <v>CERVANTES-BOBO</v>
      </c>
      <c r="B14" s="8" t="str">
        <f>IFERROR(__xludf.DUMMYFUNCTION("""COMPUTED_VALUE"""),"MAGNOLIA")</f>
        <v>MAGNOLIA</v>
      </c>
      <c r="C14" s="8" t="str">
        <f>IFERROR(__xludf.DUMMYFUNCTION("""COMPUTED_VALUE"""),"PARK CITY")</f>
        <v>PARK CITY</v>
      </c>
      <c r="D14" s="8" t="str">
        <f>IFERROR(__xludf.DUMMYFUNCTION("""COMPUTED_VALUE"""),"KS")</f>
        <v>KS</v>
      </c>
      <c r="E14" s="8" t="str">
        <f>IFERROR(__xludf.DUMMYFUNCTION("""COMPUTED_VALUE"""),"USA")</f>
        <v>USA</v>
      </c>
      <c r="F14" s="8" t="str">
        <f>IFERROR(__xludf.DUMMYFUNCTION("""COMPUTED_VALUE"""),"WOMEN A CRICKET DBLS")</f>
        <v>WOMEN A CRICKET DBLS</v>
      </c>
      <c r="G14" s="8" t="str">
        <f>IFERROR(__xludf.DUMMYFUNCTION("""COMPUTED_VALUE"""),"2")</f>
        <v>2</v>
      </c>
      <c r="H14" s="8" t="str">
        <f>IFERROR(__xludf.DUMMYFUNCTION("""COMPUTED_VALUE"""),"BS 37 FINALS")</f>
        <v>BS 37 FINALS</v>
      </c>
      <c r="I14" s="9">
        <f>IFERROR(__xludf.DUMMYFUNCTION("""COMPUTED_VALUE"""),45078.0)</f>
        <v>45078</v>
      </c>
      <c r="J14" s="9">
        <f>IFERROR(__xludf.DUMMYFUNCTION("""COMPUTED_VALUE"""),46174.0)</f>
        <v>46174</v>
      </c>
      <c r="K14" s="13">
        <f>IFERROR(__xludf.DUMMYFUNCTION("""COMPUTED_VALUE"""),47270.0)</f>
        <v>47270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7" t="str">
        <f>IFERROR(__xludf.DUMMYFUNCTION("""COMPUTED_VALUE"""),"COLE")</f>
        <v>COLE</v>
      </c>
      <c r="B15" s="8" t="str">
        <f>IFERROR(__xludf.DUMMYFUNCTION("""COMPUTED_VALUE"""),"SHEA")</f>
        <v>SHEA</v>
      </c>
      <c r="C15" s="8" t="str">
        <f>IFERROR(__xludf.DUMMYFUNCTION("""COMPUTED_VALUE"""),"MYRTLE BEACH")</f>
        <v>MYRTLE BEACH</v>
      </c>
      <c r="D15" s="8" t="str">
        <f>IFERROR(__xludf.DUMMYFUNCTION("""COMPUTED_VALUE"""),"SC")</f>
        <v>SC</v>
      </c>
      <c r="E15" s="8" t="str">
        <f>IFERROR(__xludf.DUMMYFUNCTION("""COMPUTED_VALUE"""),"USA")</f>
        <v>USA</v>
      </c>
      <c r="F15" s="8" t="str">
        <f>IFERROR(__xludf.DUMMYFUNCTION("""COMPUTED_VALUE"""),"WOMEN SNG COMBO")</f>
        <v>WOMEN SNG COMBO</v>
      </c>
      <c r="G15" s="8" t="str">
        <f>IFERROR(__xludf.DUMMYFUNCTION("""COMPUTED_VALUE"""),"2ND")</f>
        <v>2ND</v>
      </c>
      <c r="H15" s="8" t="str">
        <f>IFERROR(__xludf.DUMMYFUNCTION("""COMPUTED_VALUE"""),"SC REGIONAL BS 38")</f>
        <v>SC REGIONAL BS 38</v>
      </c>
      <c r="I15" s="9">
        <f>IFERROR(__xludf.DUMMYFUNCTION("""COMPUTED_VALUE"""),45444.0)</f>
        <v>45444</v>
      </c>
      <c r="J15" s="9">
        <f>IFERROR(__xludf.DUMMYFUNCTION("""COMPUTED_VALUE"""),45809.0)</f>
        <v>45809</v>
      </c>
      <c r="K15" s="13">
        <f>IFERROR(__xludf.DUMMYFUNCTION("""COMPUTED_VALUE"""),46905.0)</f>
        <v>46905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7" t="str">
        <f>IFERROR(__xludf.DUMMYFUNCTION("""COMPUTED_VALUE"""),"Cunningham")</f>
        <v>Cunningham</v>
      </c>
      <c r="B16" s="8" t="str">
        <f>IFERROR(__xludf.DUMMYFUNCTION("""COMPUTED_VALUE"""),"Bette")</f>
        <v>Bette</v>
      </c>
      <c r="C16" s="8"/>
      <c r="D16" s="8"/>
      <c r="E16" s="8" t="str">
        <f>IFERROR(__xludf.DUMMYFUNCTION("""COMPUTED_VALUE"""),"USA")</f>
        <v>USA</v>
      </c>
      <c r="F16" s="8" t="str">
        <f>IFERROR(__xludf.DUMMYFUNCTION("""COMPUTED_VALUE"""),"ADO List 2024")</f>
        <v>ADO List 2024</v>
      </c>
      <c r="G16" s="8"/>
      <c r="H16" s="8"/>
      <c r="I16" s="9">
        <f>IFERROR(__xludf.DUMMYFUNCTION("""COMPUTED_VALUE"""),44348.0)</f>
        <v>44348</v>
      </c>
      <c r="J16" s="9">
        <f>IFERROR(__xludf.DUMMYFUNCTION("""COMPUTED_VALUE"""),46388.0)</f>
        <v>46388</v>
      </c>
      <c r="K16" s="13">
        <f>IFERROR(__xludf.DUMMYFUNCTION("""COMPUTED_VALUE"""),47635.0)</f>
        <v>47635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7" t="str">
        <f>IFERROR(__xludf.DUMMYFUNCTION("""COMPUTED_VALUE"""),"Curry")</f>
        <v>Curry</v>
      </c>
      <c r="B17" s="8" t="str">
        <f>IFERROR(__xludf.DUMMYFUNCTION("""COMPUTED_VALUE"""),"Robin")</f>
        <v>Robin</v>
      </c>
      <c r="C17" s="8"/>
      <c r="D17" s="8"/>
      <c r="E17" s="8" t="str">
        <f>IFERROR(__xludf.DUMMYFUNCTION("""COMPUTED_VALUE"""),"USA")</f>
        <v>USA</v>
      </c>
      <c r="F17" s="8" t="str">
        <f>IFERROR(__xludf.DUMMYFUNCTION("""COMPUTED_VALUE"""),"ADO List 2024")</f>
        <v>ADO List 2024</v>
      </c>
      <c r="G17" s="8"/>
      <c r="H17" s="8"/>
      <c r="I17" s="9">
        <f>IFERROR(__xludf.DUMMYFUNCTION("""COMPUTED_VALUE"""),44348.0)</f>
        <v>44348</v>
      </c>
      <c r="J17" s="9">
        <f>IFERROR(__xludf.DUMMYFUNCTION("""COMPUTED_VALUE"""),46388.0)</f>
        <v>46388</v>
      </c>
      <c r="K17" s="13">
        <f>IFERROR(__xludf.DUMMYFUNCTION("""COMPUTED_VALUE"""),47635.0)</f>
        <v>47635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7" t="str">
        <f>IFERROR(__xludf.DUMMYFUNCTION("""COMPUTED_VALUE"""),"DAUBER")</f>
        <v>DAUBER</v>
      </c>
      <c r="B18" s="8" t="str">
        <f>IFERROR(__xludf.DUMMYFUNCTION("""COMPUTED_VALUE"""),"TAMMY")</f>
        <v>TAMMY</v>
      </c>
      <c r="C18" s="8" t="str">
        <f>IFERROR(__xludf.DUMMYFUNCTION("""COMPUTED_VALUE"""),"ELLENWOOD")</f>
        <v>ELLENWOOD</v>
      </c>
      <c r="D18" s="8" t="str">
        <f>IFERROR(__xludf.DUMMYFUNCTION("""COMPUTED_VALUE"""),"KS")</f>
        <v>KS</v>
      </c>
      <c r="E18" s="8" t="str">
        <f>IFERROR(__xludf.DUMMYFUNCTION("""COMPUTED_VALUE"""),"USA")</f>
        <v>USA</v>
      </c>
      <c r="F18" s="8" t="str">
        <f>IFERROR(__xludf.DUMMYFUNCTION("""COMPUTED_VALUE"""),"WOMEN A/AA LUCK")</f>
        <v>WOMEN A/AA LUCK</v>
      </c>
      <c r="G18" s="8" t="str">
        <f>IFERROR(__xludf.DUMMYFUNCTION("""COMPUTED_VALUE"""),"1ST")</f>
        <v>1ST</v>
      </c>
      <c r="H18" s="8" t="str">
        <f>IFERROR(__xludf.DUMMYFUNCTION("""COMPUTED_VALUE"""),"BS 38 FINALS")</f>
        <v>BS 38 FINALS</v>
      </c>
      <c r="I18" s="9">
        <f>IFERROR(__xludf.DUMMYFUNCTION("""COMPUTED_VALUE"""),45444.0)</f>
        <v>45444</v>
      </c>
      <c r="J18" s="9">
        <f>IFERROR(__xludf.DUMMYFUNCTION("""COMPUTED_VALUE"""),46539.0)</f>
        <v>46539</v>
      </c>
      <c r="K18" s="13">
        <f>IFERROR(__xludf.DUMMYFUNCTION("""COMPUTED_VALUE"""),47635.0)</f>
        <v>47635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7" t="str">
        <f>IFERROR(__xludf.DUMMYFUNCTION("""COMPUTED_VALUE"""),"DAVID")</f>
        <v>DAVID</v>
      </c>
      <c r="B19" s="8" t="str">
        <f>IFERROR(__xludf.DUMMYFUNCTION("""COMPUTED_VALUE"""),"RACHNA")</f>
        <v>RACHNA</v>
      </c>
      <c r="C19" s="8"/>
      <c r="D19" s="8"/>
      <c r="E19" s="8" t="str">
        <f>IFERROR(__xludf.DUMMYFUNCTION("""COMPUTED_VALUE"""),"NORWAY")</f>
        <v>NORWAY</v>
      </c>
      <c r="F19" s="8" t="str">
        <f>IFERROR(__xludf.DUMMYFUNCTION("""COMPUTED_VALUE"""),"WOMEN A CRICKET DBLS")</f>
        <v>WOMEN A CRICKET DBLS</v>
      </c>
      <c r="G19" s="8" t="str">
        <f>IFERROR(__xludf.DUMMYFUNCTION("""COMPUTED_VALUE"""),"2")</f>
        <v>2</v>
      </c>
      <c r="H19" s="8" t="str">
        <f>IFERROR(__xludf.DUMMYFUNCTION("""COMPUTED_VALUE"""),"BS 37 FINALS")</f>
        <v>BS 37 FINALS</v>
      </c>
      <c r="I19" s="9">
        <f>IFERROR(__xludf.DUMMYFUNCTION("""COMPUTED_VALUE"""),45078.0)</f>
        <v>45078</v>
      </c>
      <c r="J19" s="9">
        <f>IFERROR(__xludf.DUMMYFUNCTION("""COMPUTED_VALUE"""),46174.0)</f>
        <v>46174</v>
      </c>
      <c r="K19" s="13">
        <f>IFERROR(__xludf.DUMMYFUNCTION("""COMPUTED_VALUE"""),47270.0)</f>
        <v>47270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7" t="str">
        <f>IFERROR(__xludf.DUMMYFUNCTION("""COMPUTED_VALUE"""),"Edgett")</f>
        <v>Edgett</v>
      </c>
      <c r="B20" s="8" t="str">
        <f>IFERROR(__xludf.DUMMYFUNCTION("""COMPUTED_VALUE"""),"Brittany")</f>
        <v>Brittany</v>
      </c>
      <c r="C20" s="8"/>
      <c r="D20" s="8"/>
      <c r="E20" s="8"/>
      <c r="F20" s="8" t="str">
        <f>IFERROR(__xludf.DUMMYFUNCTION("""COMPUTED_VALUE"""),"ADO List 2024")</f>
        <v>ADO List 2024</v>
      </c>
      <c r="G20" s="8"/>
      <c r="H20" s="8"/>
      <c r="I20" s="9">
        <f>IFERROR(__xludf.DUMMYFUNCTION("""COMPUTED_VALUE"""),45444.0)</f>
        <v>45444</v>
      </c>
      <c r="J20" s="9">
        <f>IFERROR(__xludf.DUMMYFUNCTION("""COMPUTED_VALUE"""),46388.0)</f>
        <v>46388</v>
      </c>
      <c r="K20" s="13">
        <f>IFERROR(__xludf.DUMMYFUNCTION("""COMPUTED_VALUE"""),47635.0)</f>
        <v>47635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7" t="str">
        <f>IFERROR(__xludf.DUMMYFUNCTION("""COMPUTED_VALUE"""),"Feiertag")</f>
        <v>Feiertag</v>
      </c>
      <c r="B21" s="8" t="str">
        <f>IFERROR(__xludf.DUMMYFUNCTION("""COMPUTED_VALUE"""),"Tracy")</f>
        <v>Tracy</v>
      </c>
      <c r="C21" s="8"/>
      <c r="D21" s="8"/>
      <c r="E21" s="8"/>
      <c r="F21" s="8" t="str">
        <f>IFERROR(__xludf.DUMMYFUNCTION("""COMPUTED_VALUE"""),"ADO List 2024")</f>
        <v>ADO List 2024</v>
      </c>
      <c r="G21" s="8"/>
      <c r="H21" s="8"/>
      <c r="I21" s="9">
        <f>IFERROR(__xludf.DUMMYFUNCTION("""COMPUTED_VALUE"""),44348.0)</f>
        <v>44348</v>
      </c>
      <c r="J21" s="9">
        <f>IFERROR(__xludf.DUMMYFUNCTION("""COMPUTED_VALUE"""),46539.0)</f>
        <v>46539</v>
      </c>
      <c r="K21" s="13">
        <f>IFERROR(__xludf.DUMMYFUNCTION("""COMPUTED_VALUE"""),47635.0)</f>
        <v>47635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7" t="str">
        <f>IFERROR(__xludf.DUMMYFUNCTION("""COMPUTED_VALUE"""),"GANNON")</f>
        <v>GANNON</v>
      </c>
      <c r="B22" s="8" t="str">
        <f>IFERROR(__xludf.DUMMYFUNCTION("""COMPUTED_VALUE"""),"MARLENE")</f>
        <v>MARLENE</v>
      </c>
      <c r="C22" s="8" t="str">
        <f>IFERROR(__xludf.DUMMYFUNCTION("""COMPUTED_VALUE"""),"OAK LAWN")</f>
        <v>OAK LAWN</v>
      </c>
      <c r="D22" s="8" t="str">
        <f>IFERROR(__xludf.DUMMYFUNCTION("""COMPUTED_VALUE"""),"IL")</f>
        <v>IL</v>
      </c>
      <c r="E22" s="8" t="str">
        <f>IFERROR(__xludf.DUMMYFUNCTION("""COMPUTED_VALUE"""),"USA")</f>
        <v>USA</v>
      </c>
      <c r="F22" s="8" t="str">
        <f>IFERROR(__xludf.DUMMYFUNCTION("""COMPUTED_VALUE"""),"WOMEN A 501 DBLS")</f>
        <v>WOMEN A 501 DBLS</v>
      </c>
      <c r="G22" s="8" t="str">
        <f>IFERROR(__xludf.DUMMYFUNCTION("""COMPUTED_VALUE"""),"3")</f>
        <v>3</v>
      </c>
      <c r="H22" s="8" t="str">
        <f>IFERROR(__xludf.DUMMYFUNCTION("""COMPUTED_VALUE"""),"BS 37 FINALS")</f>
        <v>BS 37 FINALS</v>
      </c>
      <c r="I22" s="9">
        <f>IFERROR(__xludf.DUMMYFUNCTION("""COMPUTED_VALUE"""),45078.0)</f>
        <v>45078</v>
      </c>
      <c r="J22" s="9">
        <f>IFERROR(__xludf.DUMMYFUNCTION("""COMPUTED_VALUE"""),46174.0)</f>
        <v>46174</v>
      </c>
      <c r="K22" s="13">
        <f>IFERROR(__xludf.DUMMYFUNCTION("""COMPUTED_VALUE"""),47270.0)</f>
        <v>47270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7" t="str">
        <f>IFERROR(__xludf.DUMMYFUNCTION("""COMPUTED_VALUE"""),"GILLIAM")</f>
        <v>GILLIAM</v>
      </c>
      <c r="B23" s="8" t="str">
        <f>IFERROR(__xludf.DUMMYFUNCTION("""COMPUTED_VALUE"""),"TAYLOR")</f>
        <v>TAYLOR</v>
      </c>
      <c r="C23" s="8" t="str">
        <f>IFERROR(__xludf.DUMMYFUNCTION("""COMPUTED_VALUE"""),"WEST CHESTER")</f>
        <v>WEST CHESTER</v>
      </c>
      <c r="D23" s="8" t="str">
        <f>IFERROR(__xludf.DUMMYFUNCTION("""COMPUTED_VALUE"""),"OH")</f>
        <v>OH</v>
      </c>
      <c r="E23" s="8" t="str">
        <f>IFERROR(__xludf.DUMMYFUNCTION("""COMPUTED_VALUE"""),"USA")</f>
        <v>USA</v>
      </c>
      <c r="F23" s="8" t="str">
        <f>IFERROR(__xludf.DUMMYFUNCTION("""COMPUTED_VALUE"""),"WOMEN A/AA COMBO LUCK")</f>
        <v>WOMEN A/AA COMBO LUCK</v>
      </c>
      <c r="G23" s="8" t="str">
        <f>IFERROR(__xludf.DUMMYFUNCTION("""COMPUTED_VALUE"""),"3")</f>
        <v>3</v>
      </c>
      <c r="H23" s="8" t="str">
        <f>IFERROR(__xludf.DUMMYFUNCTION("""COMPUTED_VALUE"""),"BS 37 FINALS")</f>
        <v>BS 37 FINALS</v>
      </c>
      <c r="I23" s="9">
        <f>IFERROR(__xludf.DUMMYFUNCTION("""COMPUTED_VALUE"""),45078.0)</f>
        <v>45078</v>
      </c>
      <c r="J23" s="9">
        <f>IFERROR(__xludf.DUMMYFUNCTION("""COMPUTED_VALUE"""),46174.0)</f>
        <v>46174</v>
      </c>
      <c r="K23" s="13">
        <f>IFERROR(__xludf.DUMMYFUNCTION("""COMPUTED_VALUE"""),47270.0)</f>
        <v>47270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7" t="str">
        <f>IFERROR(__xludf.DUMMYFUNCTION("""COMPUTED_VALUE"""),"Goebel")</f>
        <v>Goebel</v>
      </c>
      <c r="B24" s="8" t="str">
        <f>IFERROR(__xludf.DUMMYFUNCTION("""COMPUTED_VALUE"""),"Gabriela")</f>
        <v>Gabriela</v>
      </c>
      <c r="C24" s="8"/>
      <c r="D24" s="8" t="str">
        <f>IFERROR(__xludf.DUMMYFUNCTION("""COMPUTED_VALUE"""),"UNK")</f>
        <v>UNK</v>
      </c>
      <c r="E24" s="8" t="str">
        <f>IFERROR(__xludf.DUMMYFUNCTION("""COMPUTED_VALUE"""),"Germany")</f>
        <v>Germany</v>
      </c>
      <c r="F24" s="8" t="str">
        <f>IFERROR(__xludf.DUMMYFUNCTION("""COMPUTED_VALUE"""),"WOMENS A DBLS CRICKET")</f>
        <v>WOMENS A DBLS CRICKET</v>
      </c>
      <c r="G24" s="8" t="str">
        <f>IFERROR(__xludf.DUMMYFUNCTION("""COMPUTED_VALUE"""),"2ND")</f>
        <v>2ND</v>
      </c>
      <c r="H24" s="8" t="str">
        <f>IFERROR(__xludf.DUMMYFUNCTION("""COMPUTED_VALUE"""),"BULLSHOOTER 36 FINALS")</f>
        <v>BULLSHOOTER 36 FINALS</v>
      </c>
      <c r="I24" s="9">
        <f>IFERROR(__xludf.DUMMYFUNCTION("""COMPUTED_VALUE"""),44713.0)</f>
        <v>44713</v>
      </c>
      <c r="J24" s="9">
        <f>IFERROR(__xludf.DUMMYFUNCTION("""COMPUTED_VALUE"""),45809.0)</f>
        <v>45809</v>
      </c>
      <c r="K24" s="13">
        <f>IFERROR(__xludf.DUMMYFUNCTION("""COMPUTED_VALUE"""),46905.0)</f>
        <v>46905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11" t="str">
        <f>IFERROR(__xludf.DUMMYFUNCTION("""COMPUTED_VALUE"""),"Green")</f>
        <v>Green</v>
      </c>
      <c r="B25" s="12" t="str">
        <f>IFERROR(__xludf.DUMMYFUNCTION("""COMPUTED_VALUE"""),"Samantha")</f>
        <v>Samantha</v>
      </c>
      <c r="C25" s="12" t="str">
        <f>IFERROR(__xludf.DUMMYFUNCTION("""COMPUTED_VALUE"""),"Sycamore")</f>
        <v>Sycamore</v>
      </c>
      <c r="D25" s="12" t="str">
        <f>IFERROR(__xludf.DUMMYFUNCTION("""COMPUTED_VALUE"""),"IL")</f>
        <v>IL</v>
      </c>
      <c r="E25" s="12" t="str">
        <f>IFERROR(__xludf.DUMMYFUNCTION("""COMPUTED_VALUE"""),"USA")</f>
        <v>USA</v>
      </c>
      <c r="F25" s="12" t="str">
        <f>IFERROR(__xludf.DUMMYFUNCTION("""COMPUTED_VALUE"""),"WOMEN A DBLS CRICKET")</f>
        <v>WOMEN A DBLS CRICKET</v>
      </c>
      <c r="G25" s="12" t="str">
        <f>IFERROR(__xludf.DUMMYFUNCTION("""COMPUTED_VALUE"""),"2ND")</f>
        <v>2ND</v>
      </c>
      <c r="H25" s="12" t="str">
        <f>IFERROR(__xludf.DUMMYFUNCTION("""COMPUTED_VALUE"""),"BS 38 FINALS")</f>
        <v>BS 38 FINALS</v>
      </c>
      <c r="I25" s="14">
        <f>IFERROR(__xludf.DUMMYFUNCTION("""COMPUTED_VALUE"""),45444.0)</f>
        <v>45444</v>
      </c>
      <c r="J25" s="14">
        <f>IFERROR(__xludf.DUMMYFUNCTION("""COMPUTED_VALUE"""),46539.0)</f>
        <v>46539</v>
      </c>
      <c r="K25" s="13">
        <f>IFERROR(__xludf.DUMMYFUNCTION("""COMPUTED_VALUE"""),47635.0)</f>
        <v>47635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7" t="str">
        <f>IFERROR(__xludf.DUMMYFUNCTION("""COMPUTED_VALUE"""),"GRIMAL")</f>
        <v>GRIMAL</v>
      </c>
      <c r="B26" s="8" t="str">
        <f>IFERROR(__xludf.DUMMYFUNCTION("""COMPUTED_VALUE"""),"KRISSY")</f>
        <v>KRISSY</v>
      </c>
      <c r="C26" s="8" t="str">
        <f>IFERROR(__xludf.DUMMYFUNCTION("""COMPUTED_VALUE"""),"WIMAUMA")</f>
        <v>WIMAUMA</v>
      </c>
      <c r="D26" s="8" t="str">
        <f>IFERROR(__xludf.DUMMYFUNCTION("""COMPUTED_VALUE"""),"FL")</f>
        <v>FL</v>
      </c>
      <c r="E26" s="8" t="str">
        <f>IFERROR(__xludf.DUMMYFUNCTION("""COMPUTED_VALUE"""),"USA")</f>
        <v>USA</v>
      </c>
      <c r="F26" s="8" t="str">
        <f>IFERROR(__xludf.DUMMYFUNCTION("""COMPUTED_VALUE"""),"TopGun Women AA")</f>
        <v>TopGun Women AA</v>
      </c>
      <c r="G26" s="8" t="str">
        <f>IFERROR(__xludf.DUMMYFUNCTION("""COMPUTED_VALUE"""),"2nd")</f>
        <v>2nd</v>
      </c>
      <c r="H26" s="8" t="str">
        <f>IFERROR(__xludf.DUMMYFUNCTION("""COMPUTED_VALUE"""),"BS 38 Finals")</f>
        <v>BS 38 Finals</v>
      </c>
      <c r="I26" s="9">
        <f>IFERROR(__xludf.DUMMYFUNCTION("""COMPUTED_VALUE"""),45078.0)</f>
        <v>45078</v>
      </c>
      <c r="J26" s="9">
        <f>IFERROR(__xludf.DUMMYFUNCTION("""COMPUTED_VALUE"""),46539.0)</f>
        <v>46539</v>
      </c>
      <c r="K26" s="13">
        <f>IFERROR(__xludf.DUMMYFUNCTION("""COMPUTED_VALUE"""),47635.0)</f>
        <v>47635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7" t="str">
        <f>IFERROR(__xludf.DUMMYFUNCTION("""COMPUTED_VALUE"""),"GRZESIK")</f>
        <v>GRZESIK</v>
      </c>
      <c r="B27" s="8" t="str">
        <f>IFERROR(__xludf.DUMMYFUNCTION("""COMPUTED_VALUE"""),"TRISH")</f>
        <v>TRISH</v>
      </c>
      <c r="C27" s="8"/>
      <c r="D27" s="8"/>
      <c r="E27" s="8" t="str">
        <f>IFERROR(__xludf.DUMMYFUNCTION("""COMPUTED_VALUE"""),"CANADA")</f>
        <v>CANADA</v>
      </c>
      <c r="F27" s="8" t="str">
        <f>IFERROR(__xludf.DUMMYFUNCTION("""COMPUTED_VALUE"""),"WOMEN SNG COMBO")</f>
        <v>WOMEN SNG COMBO</v>
      </c>
      <c r="G27" s="8" t="str">
        <f>IFERROR(__xludf.DUMMYFUNCTION("""COMPUTED_VALUE"""),"1")</f>
        <v>1</v>
      </c>
      <c r="H27" s="8" t="str">
        <f>IFERROR(__xludf.DUMMYFUNCTION("""COMPUTED_VALUE"""),"TX REGIONAL BS 38")</f>
        <v>TX REGIONAL BS 38</v>
      </c>
      <c r="I27" s="9">
        <f>IFERROR(__xludf.DUMMYFUNCTION("""COMPUTED_VALUE"""),45444.0)</f>
        <v>45444</v>
      </c>
      <c r="J27" s="9">
        <f>IFERROR(__xludf.DUMMYFUNCTION("""COMPUTED_VALUE"""),46174.0)</f>
        <v>46174</v>
      </c>
      <c r="K27" s="13">
        <f>IFERROR(__xludf.DUMMYFUNCTION("""COMPUTED_VALUE"""),47270.0)</f>
        <v>47270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7" t="str">
        <f>IFERROR(__xludf.DUMMYFUNCTION("""COMPUTED_VALUE"""),"Haas")</f>
        <v>Haas</v>
      </c>
      <c r="B28" s="8" t="str">
        <f>IFERROR(__xludf.DUMMYFUNCTION("""COMPUTED_VALUE"""),"Sandy")</f>
        <v>Sandy</v>
      </c>
      <c r="C28" s="8" t="str">
        <f>IFERROR(__xludf.DUMMYFUNCTION("""COMPUTED_VALUE"""),"Harrison")</f>
        <v>Harrison</v>
      </c>
      <c r="D28" s="8" t="str">
        <f>IFERROR(__xludf.DUMMYFUNCTION("""COMPUTED_VALUE"""),"TN")</f>
        <v>TN</v>
      </c>
      <c r="E28" s="8" t="str">
        <f>IFERROR(__xludf.DUMMYFUNCTION("""COMPUTED_VALUE"""),"USA")</f>
        <v>USA</v>
      </c>
      <c r="F28" s="8" t="str">
        <f>IFERROR(__xludf.DUMMYFUNCTION("""COMPUTED_VALUE"""),"ADO List 2024")</f>
        <v>ADO List 2024</v>
      </c>
      <c r="G28" s="8"/>
      <c r="H28" s="8"/>
      <c r="I28" s="9">
        <f>IFERROR(__xludf.DUMMYFUNCTION("""COMPUTED_VALUE"""),44348.0)</f>
        <v>44348</v>
      </c>
      <c r="J28" s="9">
        <f>IFERROR(__xludf.DUMMYFUNCTION("""COMPUTED_VALUE"""),46539.0)</f>
        <v>46539</v>
      </c>
      <c r="K28" s="13">
        <f>IFERROR(__xludf.DUMMYFUNCTION("""COMPUTED_VALUE"""),47635.0)</f>
        <v>47635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7" t="str">
        <f>IFERROR(__xludf.DUMMYFUNCTION("""COMPUTED_VALUE"""),"Hanssen")</f>
        <v>Hanssen</v>
      </c>
      <c r="B29" s="8" t="str">
        <f>IFERROR(__xludf.DUMMYFUNCTION("""COMPUTED_VALUE"""),"Tammy")</f>
        <v>Tammy</v>
      </c>
      <c r="C29" s="8" t="str">
        <f>IFERROR(__xludf.DUMMYFUNCTION("""COMPUTED_VALUE"""),"Mount Sterling")</f>
        <v>Mount Sterling</v>
      </c>
      <c r="D29" s="8" t="str">
        <f>IFERROR(__xludf.DUMMYFUNCTION("""COMPUTED_VALUE"""),"IL")</f>
        <v>IL</v>
      </c>
      <c r="E29" s="8" t="str">
        <f>IFERROR(__xludf.DUMMYFUNCTION("""COMPUTED_VALUE"""),"USA")</f>
        <v>USA</v>
      </c>
      <c r="F29" s="8" t="str">
        <f>IFERROR(__xludf.DUMMYFUNCTION("""COMPUTED_VALUE"""),"WOMENS LUCK COMBO")</f>
        <v>WOMENS LUCK COMBO</v>
      </c>
      <c r="G29" s="8" t="str">
        <f>IFERROR(__xludf.DUMMYFUNCTION("""COMPUTED_VALUE"""),"3RD")</f>
        <v>3RD</v>
      </c>
      <c r="H29" s="8" t="str">
        <f>IFERROR(__xludf.DUMMYFUNCTION("""COMPUTED_VALUE"""),"BULLSHOOTER 36 FINALS")</f>
        <v>BULLSHOOTER 36 FINALS</v>
      </c>
      <c r="I29" s="9">
        <f>IFERROR(__xludf.DUMMYFUNCTION("""COMPUTED_VALUE"""),44713.0)</f>
        <v>44713</v>
      </c>
      <c r="J29" s="9">
        <f>IFERROR(__xludf.DUMMYFUNCTION("""COMPUTED_VALUE"""),45809.0)</f>
        <v>45809</v>
      </c>
      <c r="K29" s="13">
        <f>IFERROR(__xludf.DUMMYFUNCTION("""COMPUTED_VALUE"""),46905.0)</f>
        <v>46905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7" t="str">
        <f>IFERROR(__xludf.DUMMYFUNCTION("""COMPUTED_VALUE"""),"Hardwick")</f>
        <v>Hardwick</v>
      </c>
      <c r="B30" s="8" t="str">
        <f>IFERROR(__xludf.DUMMYFUNCTION("""COMPUTED_VALUE"""),"Amber")</f>
        <v>Amber</v>
      </c>
      <c r="C30" s="8" t="str">
        <f>IFERROR(__xludf.DUMMYFUNCTION("""COMPUTED_VALUE"""),"Camby")</f>
        <v>Camby</v>
      </c>
      <c r="D30" s="8" t="str">
        <f>IFERROR(__xludf.DUMMYFUNCTION("""COMPUTED_VALUE"""),"IN")</f>
        <v>IN</v>
      </c>
      <c r="E30" s="8" t="str">
        <f>IFERROR(__xludf.DUMMYFUNCTION("""COMPUTED_VALUE"""),"USA")</f>
        <v>USA</v>
      </c>
      <c r="F30" s="8" t="str">
        <f>IFERROR(__xludf.DUMMYFUNCTION("""COMPUTED_VALUE"""),"WOMEN A DBLS 501")</f>
        <v>WOMEN A DBLS 501</v>
      </c>
      <c r="G30" s="8" t="str">
        <f>IFERROR(__xludf.DUMMYFUNCTION("""COMPUTED_VALUE"""),"4TH")</f>
        <v>4TH</v>
      </c>
      <c r="H30" s="8" t="str">
        <f>IFERROR(__xludf.DUMMYFUNCTION("""COMPUTED_VALUE"""),"BS 38 FINALS")</f>
        <v>BS 38 FINALS</v>
      </c>
      <c r="I30" s="9">
        <f>IFERROR(__xludf.DUMMYFUNCTION("""COMPUTED_VALUE"""),45444.0)</f>
        <v>45444</v>
      </c>
      <c r="J30" s="9">
        <f>IFERROR(__xludf.DUMMYFUNCTION("""COMPUTED_VALUE"""),46539.0)</f>
        <v>46539</v>
      </c>
      <c r="K30" s="13">
        <f>IFERROR(__xludf.DUMMYFUNCTION("""COMPUTED_VALUE"""),47635.0)</f>
        <v>47635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11" t="str">
        <f>IFERROR(__xludf.DUMMYFUNCTION("""COMPUTED_VALUE"""),"Harper")</f>
        <v>Harper</v>
      </c>
      <c r="B31" s="12" t="str">
        <f>IFERROR(__xludf.DUMMYFUNCTION("""COMPUTED_VALUE"""),"Lynn")</f>
        <v>Lynn</v>
      </c>
      <c r="C31" s="12"/>
      <c r="D31" s="12"/>
      <c r="E31" s="12"/>
      <c r="F31" s="12" t="str">
        <f>IFERROR(__xludf.DUMMYFUNCTION("""COMPUTED_VALUE"""),"ADO List 2024")</f>
        <v>ADO List 2024</v>
      </c>
      <c r="G31" s="12"/>
      <c r="H31" s="12"/>
      <c r="I31" s="14">
        <f>IFERROR(__xludf.DUMMYFUNCTION("""COMPUTED_VALUE"""),45444.0)</f>
        <v>45444</v>
      </c>
      <c r="J31" s="14">
        <f>IFERROR(__xludf.DUMMYFUNCTION("""COMPUTED_VALUE"""),46539.0)</f>
        <v>46539</v>
      </c>
      <c r="K31" s="13">
        <f>IFERROR(__xludf.DUMMYFUNCTION("""COMPUTED_VALUE"""),47635.0)</f>
        <v>47635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7" t="str">
        <f>IFERROR(__xludf.DUMMYFUNCTION("""COMPUTED_VALUE"""),"Haynes")</f>
        <v>Haynes</v>
      </c>
      <c r="B32" s="8" t="str">
        <f>IFERROR(__xludf.DUMMYFUNCTION("""COMPUTED_VALUE"""),"Marcus")</f>
        <v>Marcus</v>
      </c>
      <c r="C32" s="8"/>
      <c r="D32" s="8"/>
      <c r="E32" s="8" t="str">
        <f>IFERROR(__xludf.DUMMYFUNCTION("""COMPUTED_VALUE"""),"USA")</f>
        <v>USA</v>
      </c>
      <c r="F32" s="8" t="str">
        <f>IFERROR(__xludf.DUMMYFUNCTION("""COMPUTED_VALUE"""),"ADO List 2024")</f>
        <v>ADO List 2024</v>
      </c>
      <c r="G32" s="8"/>
      <c r="H32" s="8"/>
      <c r="I32" s="9">
        <f>IFERROR(__xludf.DUMMYFUNCTION("""COMPUTED_VALUE"""),44348.0)</f>
        <v>44348</v>
      </c>
      <c r="J32" s="9">
        <f>IFERROR(__xludf.DUMMYFUNCTION("""COMPUTED_VALUE"""),46388.0)</f>
        <v>46388</v>
      </c>
      <c r="K32" s="13">
        <f>IFERROR(__xludf.DUMMYFUNCTION("""COMPUTED_VALUE"""),47635.0)</f>
        <v>47635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7" t="str">
        <f>IFERROR(__xludf.DUMMYFUNCTION("""COMPUTED_VALUE"""),"HIGGINS")</f>
        <v>HIGGINS</v>
      </c>
      <c r="B33" s="8" t="str">
        <f>IFERROR(__xludf.DUMMYFUNCTION("""COMPUTED_VALUE"""),"VIRGINIA")</f>
        <v>VIRGINIA</v>
      </c>
      <c r="C33" s="8" t="str">
        <f>IFERROR(__xludf.DUMMYFUNCTION("""COMPUTED_VALUE"""),"TEXAS CITY")</f>
        <v>TEXAS CITY</v>
      </c>
      <c r="D33" s="8" t="str">
        <f>IFERROR(__xludf.DUMMYFUNCTION("""COMPUTED_VALUE"""),"TX")</f>
        <v>TX</v>
      </c>
      <c r="E33" s="8" t="str">
        <f>IFERROR(__xludf.DUMMYFUNCTION("""COMPUTED_VALUE"""),"USA")</f>
        <v>USA</v>
      </c>
      <c r="F33" s="8" t="str">
        <f>IFERROR(__xludf.DUMMYFUNCTION("""COMPUTED_VALUE"""),"WOMEN A/AA COMBO LUCK")</f>
        <v>WOMEN A/AA COMBO LUCK</v>
      </c>
      <c r="G33" s="8" t="str">
        <f>IFERROR(__xludf.DUMMYFUNCTION("""COMPUTED_VALUE"""),"3RD")</f>
        <v>3RD</v>
      </c>
      <c r="H33" s="8" t="str">
        <f>IFERROR(__xludf.DUMMYFUNCTION("""COMPUTED_VALUE"""),"BS 38 FINALS")</f>
        <v>BS 38 FINALS</v>
      </c>
      <c r="I33" s="9">
        <f>IFERROR(__xludf.DUMMYFUNCTION("""COMPUTED_VALUE"""),45444.0)</f>
        <v>45444</v>
      </c>
      <c r="J33" s="9">
        <f>IFERROR(__xludf.DUMMYFUNCTION("""COMPUTED_VALUE"""),46539.0)</f>
        <v>46539</v>
      </c>
      <c r="K33" s="13">
        <f>IFERROR(__xludf.DUMMYFUNCTION("""COMPUTED_VALUE"""),47635.0)</f>
        <v>47635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7" t="str">
        <f>IFERROR(__xludf.DUMMYFUNCTION("""COMPUTED_VALUE"""),"HINSHAW")</f>
        <v>HINSHAW</v>
      </c>
      <c r="B34" s="8" t="str">
        <f>IFERROR(__xludf.DUMMYFUNCTION("""COMPUTED_VALUE"""),"NICOLE")</f>
        <v>NICOLE</v>
      </c>
      <c r="C34" s="8" t="str">
        <f>IFERROR(__xludf.DUMMYFUNCTION("""COMPUTED_VALUE"""),"MICHIGAN CITY")</f>
        <v>MICHIGAN CITY</v>
      </c>
      <c r="D34" s="8" t="str">
        <f>IFERROR(__xludf.DUMMYFUNCTION("""COMPUTED_VALUE"""),"IN")</f>
        <v>IN</v>
      </c>
      <c r="E34" s="8" t="str">
        <f>IFERROR(__xludf.DUMMYFUNCTION("""COMPUTED_VALUE"""),"USA")</f>
        <v>USA</v>
      </c>
      <c r="F34" s="8" t="str">
        <f>IFERROR(__xludf.DUMMYFUNCTION("""COMPUTED_VALUE"""),"Womens AA 501 Dbls")</f>
        <v>Womens AA 501 Dbls</v>
      </c>
      <c r="G34" s="8" t="str">
        <f>IFERROR(__xludf.DUMMYFUNCTION("""COMPUTED_VALUE"""),"3rd")</f>
        <v>3rd</v>
      </c>
      <c r="H34" s="8" t="str">
        <f>IFERROR(__xludf.DUMMYFUNCTION("""COMPUTED_VALUE"""),"BS 38 Finals")</f>
        <v>BS 38 Finals</v>
      </c>
      <c r="I34" s="9">
        <f>IFERROR(__xludf.DUMMYFUNCTION("""COMPUTED_VALUE"""),45078.0)</f>
        <v>45078</v>
      </c>
      <c r="J34" s="9">
        <f>IFERROR(__xludf.DUMMYFUNCTION("""COMPUTED_VALUE"""),46539.0)</f>
        <v>46539</v>
      </c>
      <c r="K34" s="13">
        <f>IFERROR(__xludf.DUMMYFUNCTION("""COMPUTED_VALUE"""),47635.0)</f>
        <v>47635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7" t="str">
        <f>IFERROR(__xludf.DUMMYFUNCTION("""COMPUTED_VALUE"""),"IRBY")</f>
        <v>IRBY</v>
      </c>
      <c r="B35" s="8" t="str">
        <f>IFERROR(__xludf.DUMMYFUNCTION("""COMPUTED_VALUE"""),"RATONDA")</f>
        <v>RATONDA</v>
      </c>
      <c r="C35" s="8" t="str">
        <f>IFERROR(__xludf.DUMMYFUNCTION("""COMPUTED_VALUE"""),"HOUSTON")</f>
        <v>HOUSTON</v>
      </c>
      <c r="D35" s="8" t="str">
        <f>IFERROR(__xludf.DUMMYFUNCTION("""COMPUTED_VALUE"""),"TX")</f>
        <v>TX</v>
      </c>
      <c r="E35" s="8" t="str">
        <f>IFERROR(__xludf.DUMMYFUNCTION("""COMPUTED_VALUE"""),"USA")</f>
        <v>USA</v>
      </c>
      <c r="F35" s="8" t="str">
        <f>IFERROR(__xludf.DUMMYFUNCTION("""COMPUTED_VALUE"""),"WOMEN A/AA COMBO LUCK")</f>
        <v>WOMEN A/AA COMBO LUCK</v>
      </c>
      <c r="G35" s="8" t="str">
        <f>IFERROR(__xludf.DUMMYFUNCTION("""COMPUTED_VALUE"""),"2")</f>
        <v>2</v>
      </c>
      <c r="H35" s="8" t="str">
        <f>IFERROR(__xludf.DUMMYFUNCTION("""COMPUTED_VALUE"""),"BS 37 FINALS")</f>
        <v>BS 37 FINALS</v>
      </c>
      <c r="I35" s="9">
        <f>IFERROR(__xludf.DUMMYFUNCTION("""COMPUTED_VALUE"""),45078.0)</f>
        <v>45078</v>
      </c>
      <c r="J35" s="9">
        <f>IFERROR(__xludf.DUMMYFUNCTION("""COMPUTED_VALUE"""),46174.0)</f>
        <v>46174</v>
      </c>
      <c r="K35" s="13">
        <f>IFERROR(__xludf.DUMMYFUNCTION("""COMPUTED_VALUE"""),47270.0)</f>
        <v>47270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7" t="str">
        <f>IFERROR(__xludf.DUMMYFUNCTION("""COMPUTED_VALUE"""),"IVERS")</f>
        <v>IVERS</v>
      </c>
      <c r="B36" s="8" t="str">
        <f>IFERROR(__xludf.DUMMYFUNCTION("""COMPUTED_VALUE"""),"LAUREN LEE")</f>
        <v>LAUREN LEE</v>
      </c>
      <c r="C36" s="8" t="str">
        <f>IFERROR(__xludf.DUMMYFUNCTION("""COMPUTED_VALUE"""),"CUMBERLAND")</f>
        <v>CUMBERLAND</v>
      </c>
      <c r="D36" s="8" t="str">
        <f>IFERROR(__xludf.DUMMYFUNCTION("""COMPUTED_VALUE"""),"MD")</f>
        <v>MD</v>
      </c>
      <c r="E36" s="8" t="str">
        <f>IFERROR(__xludf.DUMMYFUNCTION("""COMPUTED_VALUE"""),"USA")</f>
        <v>USA</v>
      </c>
      <c r="F36" s="8" t="str">
        <f>IFERROR(__xludf.DUMMYFUNCTION("""COMPUTED_VALUE"""),"WOMEN A DBLS 501")</f>
        <v>WOMEN A DBLS 501</v>
      </c>
      <c r="G36" s="8" t="str">
        <f>IFERROR(__xludf.DUMMYFUNCTION("""COMPUTED_VALUE"""),"4TH")</f>
        <v>4TH</v>
      </c>
      <c r="H36" s="8" t="str">
        <f>IFERROR(__xludf.DUMMYFUNCTION("""COMPUTED_VALUE"""),"BS 38 FFINALS")</f>
        <v>BS 38 FFINALS</v>
      </c>
      <c r="I36" s="9">
        <f>IFERROR(__xludf.DUMMYFUNCTION("""COMPUTED_VALUE"""),45444.0)</f>
        <v>45444</v>
      </c>
      <c r="J36" s="9">
        <f>IFERROR(__xludf.DUMMYFUNCTION("""COMPUTED_VALUE"""),46539.0)</f>
        <v>46539</v>
      </c>
      <c r="K36" s="13">
        <f>IFERROR(__xludf.DUMMYFUNCTION("""COMPUTED_VALUE"""),47635.0)</f>
        <v>47635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7" t="str">
        <f>IFERROR(__xludf.DUMMYFUNCTION("""COMPUTED_VALUE"""),"IVORA")</f>
        <v>IVORA</v>
      </c>
      <c r="B37" s="8" t="str">
        <f>IFERROR(__xludf.DUMMYFUNCTION("""COMPUTED_VALUE"""),"MARIA")</f>
        <v>MARIA</v>
      </c>
      <c r="C37" s="8"/>
      <c r="D37" s="8"/>
      <c r="E37" s="8" t="str">
        <f>IFERROR(__xludf.DUMMYFUNCTION("""COMPUTED_VALUE"""),"SPAIN")</f>
        <v>SPAIN</v>
      </c>
      <c r="F37" s="8" t="str">
        <f>IFERROR(__xludf.DUMMYFUNCTION("""COMPUTED_VALUE"""),"WOMEN AA DBLS CRICKET")</f>
        <v>WOMEN AA DBLS CRICKET</v>
      </c>
      <c r="G37" s="8" t="str">
        <f>IFERROR(__xludf.DUMMYFUNCTION("""COMPUTED_VALUE"""),"4TH")</f>
        <v>4TH</v>
      </c>
      <c r="H37" s="8" t="str">
        <f>IFERROR(__xludf.DUMMYFUNCTION("""COMPUTED_VALUE"""),"BS 38 FINALS")</f>
        <v>BS 38 FINALS</v>
      </c>
      <c r="I37" s="9">
        <f>IFERROR(__xludf.DUMMYFUNCTION("""COMPUTED_VALUE"""),45444.0)</f>
        <v>45444</v>
      </c>
      <c r="J37" s="9">
        <f>IFERROR(__xludf.DUMMYFUNCTION("""COMPUTED_VALUE"""),46539.0)</f>
        <v>46539</v>
      </c>
      <c r="K37" s="13">
        <f>IFERROR(__xludf.DUMMYFUNCTION("""COMPUTED_VALUE"""),47635.0)</f>
        <v>47635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7" t="str">
        <f>IFERROR(__xludf.DUMMYFUNCTION("""COMPUTED_VALUE"""),"Jalbert")</f>
        <v>Jalbert</v>
      </c>
      <c r="B38" s="8" t="str">
        <f>IFERROR(__xludf.DUMMYFUNCTION("""COMPUTED_VALUE"""),"Aaja")</f>
        <v>Aaja</v>
      </c>
      <c r="C38" s="8" t="str">
        <f>IFERROR(__xludf.DUMMYFUNCTION("""COMPUTED_VALUE"""),"UNK")</f>
        <v>UNK</v>
      </c>
      <c r="D38" s="8" t="str">
        <f>IFERROR(__xludf.DUMMYFUNCTION("""COMPUTED_VALUE"""),"UNK")</f>
        <v>UNK</v>
      </c>
      <c r="E38" s="8" t="str">
        <f>IFERROR(__xludf.DUMMYFUNCTION("""COMPUTED_VALUE"""),"UNK")</f>
        <v>UNK</v>
      </c>
      <c r="F38" s="8" t="str">
        <f>IFERROR(__xludf.DUMMYFUNCTION("""COMPUTED_VALUE"""),"ADO List 2024")</f>
        <v>ADO List 2024</v>
      </c>
      <c r="G38" s="8"/>
      <c r="H38" s="8"/>
      <c r="I38" s="9">
        <f>IFERROR(__xludf.DUMMYFUNCTION("""COMPUTED_VALUE"""),43132.0)</f>
        <v>43132</v>
      </c>
      <c r="J38" s="9">
        <f>IFERROR(__xludf.DUMMYFUNCTION("""COMPUTED_VALUE"""),46539.0)</f>
        <v>46539</v>
      </c>
      <c r="K38" s="13">
        <f>IFERROR(__xludf.DUMMYFUNCTION("""COMPUTED_VALUE"""),47635.0)</f>
        <v>47635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7" t="str">
        <f>IFERROR(__xludf.DUMMYFUNCTION("""COMPUTED_VALUE"""),"JOHNS")</f>
        <v>JOHNS</v>
      </c>
      <c r="B39" s="8" t="str">
        <f>IFERROR(__xludf.DUMMYFUNCTION("""COMPUTED_VALUE"""),"ALEXIS")</f>
        <v>ALEXIS</v>
      </c>
      <c r="C39" s="8" t="str">
        <f>IFERROR(__xludf.DUMMYFUNCTION("""COMPUTED_VALUE"""),"CHESTERTON")</f>
        <v>CHESTERTON</v>
      </c>
      <c r="D39" s="8" t="str">
        <f>IFERROR(__xludf.DUMMYFUNCTION("""COMPUTED_VALUE"""),"IN")</f>
        <v>IN</v>
      </c>
      <c r="E39" s="8" t="str">
        <f>IFERROR(__xludf.DUMMYFUNCTION("""COMPUTED_VALUE"""),"USA")</f>
        <v>USA</v>
      </c>
      <c r="F39" s="8" t="str">
        <f>IFERROR(__xludf.DUMMYFUNCTION("""COMPUTED_VALUE"""),"Womens A 501 Dbls")</f>
        <v>Womens A 501 Dbls</v>
      </c>
      <c r="G39" s="8" t="str">
        <f>IFERROR(__xludf.DUMMYFUNCTION("""COMPUTED_VALUE"""),"2nd")</f>
        <v>2nd</v>
      </c>
      <c r="H39" s="8" t="str">
        <f>IFERROR(__xludf.DUMMYFUNCTION("""COMPUTED_VALUE"""),"BS 38 Finals")</f>
        <v>BS 38 Finals</v>
      </c>
      <c r="I39" s="9">
        <f>IFERROR(__xludf.DUMMYFUNCTION("""COMPUTED_VALUE"""),45444.0)</f>
        <v>45444</v>
      </c>
      <c r="J39" s="9">
        <f>IFERROR(__xludf.DUMMYFUNCTION("""COMPUTED_VALUE"""),46539.0)</f>
        <v>46539</v>
      </c>
      <c r="K39" s="13">
        <f>IFERROR(__xludf.DUMMYFUNCTION("""COMPUTED_VALUE"""),47635.0)</f>
        <v>47635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7" t="str">
        <f>IFERROR(__xludf.DUMMYFUNCTION("""COMPUTED_VALUE"""),"JOHNS")</f>
        <v>JOHNS</v>
      </c>
      <c r="B40" s="8" t="str">
        <f>IFERROR(__xludf.DUMMYFUNCTION("""COMPUTED_VALUE"""),"DENISE")</f>
        <v>DENISE</v>
      </c>
      <c r="C40" s="8" t="str">
        <f>IFERROR(__xludf.DUMMYFUNCTION("""COMPUTED_VALUE"""),"COMMERCE CITY")</f>
        <v>COMMERCE CITY</v>
      </c>
      <c r="D40" s="8" t="str">
        <f>IFERROR(__xludf.DUMMYFUNCTION("""COMPUTED_VALUE"""),"CO")</f>
        <v>CO</v>
      </c>
      <c r="E40" s="8" t="str">
        <f>IFERROR(__xludf.DUMMYFUNCTION("""COMPUTED_VALUE"""),"USA")</f>
        <v>USA</v>
      </c>
      <c r="F40" s="8" t="str">
        <f>IFERROR(__xludf.DUMMYFUNCTION("""COMPUTED_VALUE"""),"ADO List 2024")</f>
        <v>ADO List 2024</v>
      </c>
      <c r="G40" s="8"/>
      <c r="H40" s="8"/>
      <c r="I40" s="9">
        <f>IFERROR(__xludf.DUMMYFUNCTION("""COMPUTED_VALUE"""),45444.0)</f>
        <v>45444</v>
      </c>
      <c r="J40" s="9">
        <f>IFERROR(__xludf.DUMMYFUNCTION("""COMPUTED_VALUE"""),46539.0)</f>
        <v>46539</v>
      </c>
      <c r="K40" s="13">
        <f>IFERROR(__xludf.DUMMYFUNCTION("""COMPUTED_VALUE"""),47635.0)</f>
        <v>47635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7" t="str">
        <f>IFERROR(__xludf.DUMMYFUNCTION("""COMPUTED_VALUE"""),"JOHNSON")</f>
        <v>JOHNSON</v>
      </c>
      <c r="B41" s="8" t="str">
        <f>IFERROR(__xludf.DUMMYFUNCTION("""COMPUTED_VALUE"""),"CYNTHIA")</f>
        <v>CYNTHIA</v>
      </c>
      <c r="C41" s="8" t="str">
        <f>IFERROR(__xludf.DUMMYFUNCTION("""COMPUTED_VALUE"""),"RACINE")</f>
        <v>RACINE</v>
      </c>
      <c r="D41" s="8" t="str">
        <f>IFERROR(__xludf.DUMMYFUNCTION("""COMPUTED_VALUE"""),"WI")</f>
        <v>WI</v>
      </c>
      <c r="E41" s="8" t="str">
        <f>IFERROR(__xludf.DUMMYFUNCTION("""COMPUTED_VALUE"""),"USA")</f>
        <v>USA</v>
      </c>
      <c r="F41" s="8" t="str">
        <f>IFERROR(__xludf.DUMMYFUNCTION("""COMPUTED_VALUE"""),"WOMEN AA 501 DBLS")</f>
        <v>WOMEN AA 501 DBLS</v>
      </c>
      <c r="G41" s="8" t="str">
        <f>IFERROR(__xludf.DUMMYFUNCTION("""COMPUTED_VALUE"""),"3")</f>
        <v>3</v>
      </c>
      <c r="H41" s="8" t="str">
        <f>IFERROR(__xludf.DUMMYFUNCTION("""COMPUTED_VALUE"""),"BS 37 FINALS")</f>
        <v>BS 37 FINALS</v>
      </c>
      <c r="I41" s="9">
        <f>IFERROR(__xludf.DUMMYFUNCTION("""COMPUTED_VALUE"""),45078.0)</f>
        <v>45078</v>
      </c>
      <c r="J41" s="9">
        <f>IFERROR(__xludf.DUMMYFUNCTION("""COMPUTED_VALUE"""),46174.0)</f>
        <v>46174</v>
      </c>
      <c r="K41" s="13">
        <f>IFERROR(__xludf.DUMMYFUNCTION("""COMPUTED_VALUE"""),47270.0)</f>
        <v>47270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7" t="str">
        <f>IFERROR(__xludf.DUMMYFUNCTION("""COMPUTED_VALUE"""),"Kiel")</f>
        <v>Kiel</v>
      </c>
      <c r="B42" s="8" t="str">
        <f>IFERROR(__xludf.DUMMYFUNCTION("""COMPUTED_VALUE"""),"Marlise")</f>
        <v>Marlise</v>
      </c>
      <c r="C42" s="8" t="str">
        <f>IFERROR(__xludf.DUMMYFUNCTION("""COMPUTED_VALUE"""),"Parma")</f>
        <v>Parma</v>
      </c>
      <c r="D42" s="8" t="str">
        <f>IFERROR(__xludf.DUMMYFUNCTION("""COMPUTED_VALUE"""),"OH")</f>
        <v>OH</v>
      </c>
      <c r="E42" s="8" t="str">
        <f>IFERROR(__xludf.DUMMYFUNCTION("""COMPUTED_VALUE"""),"USA")</f>
        <v>USA</v>
      </c>
      <c r="F42" s="8" t="str">
        <f>IFERROR(__xludf.DUMMYFUNCTION("""COMPUTED_VALUE"""),"ADO List 2024")</f>
        <v>ADO List 2024</v>
      </c>
      <c r="G42" s="8"/>
      <c r="H42" s="8"/>
      <c r="I42" s="9">
        <f>IFERROR(__xludf.DUMMYFUNCTION("""COMPUTED_VALUE"""),44348.0)</f>
        <v>44348</v>
      </c>
      <c r="J42" s="9">
        <f>IFERROR(__xludf.DUMMYFUNCTION("""COMPUTED_VALUE"""),46388.0)</f>
        <v>46388</v>
      </c>
      <c r="K42" s="13">
        <f>IFERROR(__xludf.DUMMYFUNCTION("""COMPUTED_VALUE"""),47635.0)</f>
        <v>47635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7" t="str">
        <f>IFERROR(__xludf.DUMMYFUNCTION("""COMPUTED_VALUE"""),"Kish")</f>
        <v>Kish</v>
      </c>
      <c r="B43" s="8" t="str">
        <f>IFERROR(__xludf.DUMMYFUNCTION("""COMPUTED_VALUE"""),"Kelly")</f>
        <v>Kelly</v>
      </c>
      <c r="C43" s="8" t="str">
        <f>IFERROR(__xludf.DUMMYFUNCTION("""COMPUTED_VALUE"""),"Sycamore")</f>
        <v>Sycamore</v>
      </c>
      <c r="D43" s="8" t="str">
        <f>IFERROR(__xludf.DUMMYFUNCTION("""COMPUTED_VALUE"""),"NY")</f>
        <v>NY</v>
      </c>
      <c r="E43" s="8" t="str">
        <f>IFERROR(__xludf.DUMMYFUNCTION("""COMPUTED_VALUE"""),"USA")</f>
        <v>USA</v>
      </c>
      <c r="F43" s="8" t="str">
        <f>IFERROR(__xludf.DUMMYFUNCTION("""COMPUTED_VALUE"""),"WOMENS A/AA COMBO LUCK")</f>
        <v>WOMENS A/AA COMBO LUCK</v>
      </c>
      <c r="G43" s="8" t="str">
        <f>IFERROR(__xludf.DUMMYFUNCTION("""COMPUTED_VALUE"""),"3RD")</f>
        <v>3RD</v>
      </c>
      <c r="H43" s="8" t="str">
        <f>IFERROR(__xludf.DUMMYFUNCTION("""COMPUTED_VALUE"""),"BULLSHOOTER 36 FINALS")</f>
        <v>BULLSHOOTER 36 FINALS</v>
      </c>
      <c r="I43" s="9">
        <f>IFERROR(__xludf.DUMMYFUNCTION("""COMPUTED_VALUE"""),44713.0)</f>
        <v>44713</v>
      </c>
      <c r="J43" s="9">
        <f>IFERROR(__xludf.DUMMYFUNCTION("""COMPUTED_VALUE"""),45809.0)</f>
        <v>45809</v>
      </c>
      <c r="K43" s="13">
        <f>IFERROR(__xludf.DUMMYFUNCTION("""COMPUTED_VALUE"""),46905.0)</f>
        <v>46905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11" t="str">
        <f>IFERROR(__xludf.DUMMYFUNCTION("""COMPUTED_VALUE"""),"Loucks")</f>
        <v>Loucks</v>
      </c>
      <c r="B44" s="12" t="str">
        <f>IFERROR(__xludf.DUMMYFUNCTION("""COMPUTED_VALUE"""),"Tina")</f>
        <v>Tina</v>
      </c>
      <c r="C44" s="12" t="str">
        <f>IFERROR(__xludf.DUMMYFUNCTION("""COMPUTED_VALUE"""),"Middlebury")</f>
        <v>Middlebury</v>
      </c>
      <c r="D44" s="12" t="str">
        <f>IFERROR(__xludf.DUMMYFUNCTION("""COMPUTED_VALUE"""),"IN")</f>
        <v>IN</v>
      </c>
      <c r="E44" s="12" t="str">
        <f>IFERROR(__xludf.DUMMYFUNCTION("""COMPUTED_VALUE"""),"USA")</f>
        <v>USA</v>
      </c>
      <c r="F44" s="12" t="str">
        <f>IFERROR(__xludf.DUMMYFUNCTION("""COMPUTED_VALUE"""),"WOMENS A/AA COMBO LUCK")</f>
        <v>WOMENS A/AA COMBO LUCK</v>
      </c>
      <c r="G44" s="12" t="str">
        <f>IFERROR(__xludf.DUMMYFUNCTION("""COMPUTED_VALUE"""),"2ND")</f>
        <v>2ND</v>
      </c>
      <c r="H44" s="12" t="str">
        <f>IFERROR(__xludf.DUMMYFUNCTION("""COMPUTED_VALUE"""),"BULLSHOOTER 36 FINALS")</f>
        <v>BULLSHOOTER 36 FINALS</v>
      </c>
      <c r="I44" s="14">
        <f>IFERROR(__xludf.DUMMYFUNCTION("""COMPUTED_VALUE"""),44713.0)</f>
        <v>44713</v>
      </c>
      <c r="J44" s="14">
        <f>IFERROR(__xludf.DUMMYFUNCTION("""COMPUTED_VALUE"""),45809.0)</f>
        <v>45809</v>
      </c>
      <c r="K44" s="13">
        <f>IFERROR(__xludf.DUMMYFUNCTION("""COMPUTED_VALUE"""),46905.0)</f>
        <v>46905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7" t="str">
        <f>IFERROR(__xludf.DUMMYFUNCTION("""COMPUTED_VALUE"""),"MADER")</f>
        <v>MADER</v>
      </c>
      <c r="B45" s="8" t="str">
        <f>IFERROR(__xludf.DUMMYFUNCTION("""COMPUTED_VALUE"""),"RHONDA")</f>
        <v>RHONDA</v>
      </c>
      <c r="C45" s="8" t="str">
        <f>IFERROR(__xludf.DUMMYFUNCTION("""COMPUTED_VALUE"""),"LEWISTON")</f>
        <v>LEWISTON</v>
      </c>
      <c r="D45" s="8" t="str">
        <f>IFERROR(__xludf.DUMMYFUNCTION("""COMPUTED_VALUE"""),"ID")</f>
        <v>ID</v>
      </c>
      <c r="E45" s="8" t="str">
        <f>IFERROR(__xludf.DUMMYFUNCTION("""COMPUTED_VALUE"""),"USA")</f>
        <v>USA</v>
      </c>
      <c r="F45" s="8" t="str">
        <f>IFERROR(__xludf.DUMMYFUNCTION("""COMPUTED_VALUE"""),"WOMEN A DBLS 501")</f>
        <v>WOMEN A DBLS 501</v>
      </c>
      <c r="G45" s="8" t="str">
        <f>IFERROR(__xludf.DUMMYFUNCTION("""COMPUTED_VALUE"""),"3RD")</f>
        <v>3RD</v>
      </c>
      <c r="H45" s="8" t="str">
        <f>IFERROR(__xludf.DUMMYFUNCTION("""COMPUTED_VALUE"""),"BS 38 FINALS")</f>
        <v>BS 38 FINALS</v>
      </c>
      <c r="I45" s="9">
        <f>IFERROR(__xludf.DUMMYFUNCTION("""COMPUTED_VALUE"""),45444.0)</f>
        <v>45444</v>
      </c>
      <c r="J45" s="9">
        <f>IFERROR(__xludf.DUMMYFUNCTION("""COMPUTED_VALUE"""),46539.0)</f>
        <v>46539</v>
      </c>
      <c r="K45" s="13">
        <f>IFERROR(__xludf.DUMMYFUNCTION("""COMPUTED_VALUE"""),47635.0)</f>
        <v>47635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7" t="str">
        <f>IFERROR(__xludf.DUMMYFUNCTION("""COMPUTED_VALUE"""),"Mars")</f>
        <v>Mars</v>
      </c>
      <c r="B46" s="8" t="str">
        <f>IFERROR(__xludf.DUMMYFUNCTION("""COMPUTED_VALUE"""),"Carolyn")</f>
        <v>Carolyn</v>
      </c>
      <c r="C46" s="8"/>
      <c r="D46" s="8"/>
      <c r="E46" s="8" t="str">
        <f>IFERROR(__xludf.DUMMYFUNCTION("""COMPUTED_VALUE"""),"USA")</f>
        <v>USA</v>
      </c>
      <c r="F46" s="8" t="str">
        <f>IFERROR(__xludf.DUMMYFUNCTION("""COMPUTED_VALUE"""),"ADO List 2024")</f>
        <v>ADO List 2024</v>
      </c>
      <c r="G46" s="8"/>
      <c r="H46" s="8"/>
      <c r="I46" s="9">
        <f>IFERROR(__xludf.DUMMYFUNCTION("""COMPUTED_VALUE"""),44348.0)</f>
        <v>44348</v>
      </c>
      <c r="J46" s="9">
        <f>IFERROR(__xludf.DUMMYFUNCTION("""COMPUTED_VALUE"""),46388.0)</f>
        <v>46388</v>
      </c>
      <c r="K46" s="13">
        <f>IFERROR(__xludf.DUMMYFUNCTION("""COMPUTED_VALUE"""),47635.0)</f>
        <v>47635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7" t="str">
        <f>IFERROR(__xludf.DUMMYFUNCTION("""COMPUTED_VALUE"""),"Martinez Olcina")</f>
        <v>Martinez Olcina</v>
      </c>
      <c r="B47" s="8" t="str">
        <f>IFERROR(__xludf.DUMMYFUNCTION("""COMPUTED_VALUE"""),"Mila")</f>
        <v>Mila</v>
      </c>
      <c r="C47" s="8" t="str">
        <f>IFERROR(__xludf.DUMMYFUNCTION("""COMPUTED_VALUE"""),"Spain")</f>
        <v>Spain</v>
      </c>
      <c r="D47" s="8" t="str">
        <f>IFERROR(__xludf.DUMMYFUNCTION("""COMPUTED_VALUE"""),"UNK")</f>
        <v>UNK</v>
      </c>
      <c r="E47" s="8" t="str">
        <f>IFERROR(__xludf.DUMMYFUNCTION("""COMPUTED_VALUE"""),"Spain")</f>
        <v>Spain</v>
      </c>
      <c r="F47" s="8" t="str">
        <f>IFERROR(__xludf.DUMMYFUNCTION("""COMPUTED_VALUE"""),"WOMEN AA DBLS CRICKET")</f>
        <v>WOMEN AA DBLS CRICKET</v>
      </c>
      <c r="G47" s="8" t="str">
        <f>IFERROR(__xludf.DUMMYFUNCTION("""COMPUTED_VALUE"""),"4TH")</f>
        <v>4TH</v>
      </c>
      <c r="H47" s="8" t="str">
        <f>IFERROR(__xludf.DUMMYFUNCTION("""COMPUTED_VALUE"""),"BS 38 FINALS")</f>
        <v>BS 38 FINALS</v>
      </c>
      <c r="I47" s="9">
        <f>IFERROR(__xludf.DUMMYFUNCTION("""COMPUTED_VALUE"""),45444.0)</f>
        <v>45444</v>
      </c>
      <c r="J47" s="9">
        <f>IFERROR(__xludf.DUMMYFUNCTION("""COMPUTED_VALUE"""),46539.0)</f>
        <v>46539</v>
      </c>
      <c r="K47" s="13">
        <f>IFERROR(__xludf.DUMMYFUNCTION("""COMPUTED_VALUE"""),47635.0)</f>
        <v>47635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7" t="str">
        <f>IFERROR(__xludf.DUMMYFUNCTION("""COMPUTED_VALUE"""),"MCDANIEL")</f>
        <v>MCDANIEL</v>
      </c>
      <c r="B48" s="8" t="str">
        <f>IFERROR(__xludf.DUMMYFUNCTION("""COMPUTED_VALUE"""),"STACY")</f>
        <v>STACY</v>
      </c>
      <c r="C48" s="8" t="str">
        <f>IFERROR(__xludf.DUMMYFUNCTION("""COMPUTED_VALUE"""),"WALLS")</f>
        <v>WALLS</v>
      </c>
      <c r="D48" s="8" t="str">
        <f>IFERROR(__xludf.DUMMYFUNCTION("""COMPUTED_VALUE"""),"MI")</f>
        <v>MI</v>
      </c>
      <c r="E48" s="8" t="str">
        <f>IFERROR(__xludf.DUMMYFUNCTION("""COMPUTED_VALUE"""),"USA")</f>
        <v>USA</v>
      </c>
      <c r="F48" s="8" t="str">
        <f>IFERROR(__xludf.DUMMYFUNCTION("""COMPUTED_VALUE"""),"WOMEN SNG")</f>
        <v>WOMEN SNG</v>
      </c>
      <c r="G48" s="8" t="str">
        <f>IFERROR(__xludf.DUMMYFUNCTION("""COMPUTED_VALUE"""),"COMBO")</f>
        <v>COMBO</v>
      </c>
      <c r="H48" s="8" t="str">
        <f>IFERROR(__xludf.DUMMYFUNCTION("""COMPUTED_VALUE"""),"TN REGIONAL BS 38")</f>
        <v>TN REGIONAL BS 38</v>
      </c>
      <c r="I48" s="9">
        <f>IFERROR(__xludf.DUMMYFUNCTION("""COMPUTED_VALUE"""),45078.0)</f>
        <v>45078</v>
      </c>
      <c r="J48" s="9">
        <f>IFERROR(__xludf.DUMMYFUNCTION("""COMPUTED_VALUE"""),46174.0)</f>
        <v>46174</v>
      </c>
      <c r="K48" s="13">
        <f>IFERROR(__xludf.DUMMYFUNCTION("""COMPUTED_VALUE"""),47270.0)</f>
        <v>47270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7" t="str">
        <f>IFERROR(__xludf.DUMMYFUNCTION("""COMPUTED_VALUE"""),"McGee")</f>
        <v>McGee</v>
      </c>
      <c r="B49" s="8" t="str">
        <f>IFERROR(__xludf.DUMMYFUNCTION("""COMPUTED_VALUE"""),"Meredith")</f>
        <v>Meredith</v>
      </c>
      <c r="C49" s="8" t="str">
        <f>IFERROR(__xludf.DUMMYFUNCTION("""COMPUTED_VALUE"""),"Oviedo")</f>
        <v>Oviedo</v>
      </c>
      <c r="D49" s="8" t="str">
        <f>IFERROR(__xludf.DUMMYFUNCTION("""COMPUTED_VALUE"""),"FL")</f>
        <v>FL</v>
      </c>
      <c r="E49" s="8" t="str">
        <f>IFERROR(__xludf.DUMMYFUNCTION("""COMPUTED_VALUE"""),"USA")</f>
        <v>USA</v>
      </c>
      <c r="F49" s="8" t="str">
        <f>IFERROR(__xludf.DUMMYFUNCTION("""COMPUTED_VALUE"""),"Womens AA 501 Dbls")</f>
        <v>Womens AA 501 Dbls</v>
      </c>
      <c r="G49" s="8" t="str">
        <f>IFERROR(__xludf.DUMMYFUNCTION("""COMPUTED_VALUE"""),"2nd")</f>
        <v>2nd</v>
      </c>
      <c r="H49" s="8" t="str">
        <f>IFERROR(__xludf.DUMMYFUNCTION("""COMPUTED_VALUE"""),"BS 38 Finals")</f>
        <v>BS 38 Finals</v>
      </c>
      <c r="I49" s="9">
        <f>IFERROR(__xludf.DUMMYFUNCTION("""COMPUTED_VALUE"""),44713.0)</f>
        <v>44713</v>
      </c>
      <c r="J49" s="9">
        <f>IFERROR(__xludf.DUMMYFUNCTION("""COMPUTED_VALUE"""),46539.0)</f>
        <v>46539</v>
      </c>
      <c r="K49" s="13">
        <f>IFERROR(__xludf.DUMMYFUNCTION("""COMPUTED_VALUE"""),47635.0)</f>
        <v>47635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7" t="str">
        <f>IFERROR(__xludf.DUMMYFUNCTION("""COMPUTED_VALUE"""),"MCKEE")</f>
        <v>MCKEE</v>
      </c>
      <c r="B50" s="8" t="str">
        <f>IFERROR(__xludf.DUMMYFUNCTION("""COMPUTED_VALUE"""),"SAMANTHA")</f>
        <v>SAMANTHA</v>
      </c>
      <c r="C50" s="8" t="str">
        <f>IFERROR(__xludf.DUMMYFUNCTION("""COMPUTED_VALUE"""),"CLARKSTON")</f>
        <v>CLARKSTON</v>
      </c>
      <c r="D50" s="8" t="str">
        <f>IFERROR(__xludf.DUMMYFUNCTION("""COMPUTED_VALUE"""),"WA")</f>
        <v>WA</v>
      </c>
      <c r="E50" s="8" t="str">
        <f>IFERROR(__xludf.DUMMYFUNCTION("""COMPUTED_VALUE"""),"USA")</f>
        <v>USA</v>
      </c>
      <c r="F50" s="8" t="str">
        <f>IFERROR(__xludf.DUMMYFUNCTION("""COMPUTED_VALUE"""),"WOMEN A DBLS 501")</f>
        <v>WOMEN A DBLS 501</v>
      </c>
      <c r="G50" s="8" t="str">
        <f>IFERROR(__xludf.DUMMYFUNCTION("""COMPUTED_VALUE"""),"3RD")</f>
        <v>3RD</v>
      </c>
      <c r="H50" s="8" t="str">
        <f>IFERROR(__xludf.DUMMYFUNCTION("""COMPUTED_VALUE"""),"BS 38 FINALS")</f>
        <v>BS 38 FINALS</v>
      </c>
      <c r="I50" s="9">
        <f>IFERROR(__xludf.DUMMYFUNCTION("""COMPUTED_VALUE"""),45444.0)</f>
        <v>45444</v>
      </c>
      <c r="J50" s="9">
        <f>IFERROR(__xludf.DUMMYFUNCTION("""COMPUTED_VALUE"""),46539.0)</f>
        <v>46539</v>
      </c>
      <c r="K50" s="13">
        <f>IFERROR(__xludf.DUMMYFUNCTION("""COMPUTED_VALUE"""),47635.0)</f>
        <v>47635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7" t="str">
        <f>IFERROR(__xludf.DUMMYFUNCTION("""COMPUTED_VALUE"""),"Meares")</f>
        <v>Meares</v>
      </c>
      <c r="B51" s="8" t="str">
        <f>IFERROR(__xludf.DUMMYFUNCTION("""COMPUTED_VALUE"""),"Kelly")</f>
        <v>Kelly</v>
      </c>
      <c r="C51" s="8" t="str">
        <f>IFERROR(__xludf.DUMMYFUNCTION("""COMPUTED_VALUE"""),"Sarasota")</f>
        <v>Sarasota</v>
      </c>
      <c r="D51" s="8" t="str">
        <f>IFERROR(__xludf.DUMMYFUNCTION("""COMPUTED_VALUE"""),"FL")</f>
        <v>FL</v>
      </c>
      <c r="E51" s="8" t="str">
        <f>IFERROR(__xludf.DUMMYFUNCTION("""COMPUTED_VALUE"""),"USA")</f>
        <v>USA</v>
      </c>
      <c r="F51" s="8" t="str">
        <f>IFERROR(__xludf.DUMMYFUNCTION("""COMPUTED_VALUE"""),"WOMENS AA DBLS 501")</f>
        <v>WOMENS AA DBLS 501</v>
      </c>
      <c r="G51" s="8" t="str">
        <f>IFERROR(__xludf.DUMMYFUNCTION("""COMPUTED_VALUE"""),"1ST")</f>
        <v>1ST</v>
      </c>
      <c r="H51" s="8" t="str">
        <f>IFERROR(__xludf.DUMMYFUNCTION("""COMPUTED_VALUE"""),"BULLSHOOTER 36 FINALS")</f>
        <v>BULLSHOOTER 36 FINALS</v>
      </c>
      <c r="I51" s="9">
        <f>IFERROR(__xludf.DUMMYFUNCTION("""COMPUTED_VALUE"""),44713.0)</f>
        <v>44713</v>
      </c>
      <c r="J51" s="9">
        <f>IFERROR(__xludf.DUMMYFUNCTION("""COMPUTED_VALUE"""),45809.0)</f>
        <v>45809</v>
      </c>
      <c r="K51" s="13">
        <f>IFERROR(__xludf.DUMMYFUNCTION("""COMPUTED_VALUE"""),46905.0)</f>
        <v>46905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7" t="str">
        <f>IFERROR(__xludf.DUMMYFUNCTION("""COMPUTED_VALUE"""),"MELTON")</f>
        <v>MELTON</v>
      </c>
      <c r="B52" s="8" t="str">
        <f>IFERROR(__xludf.DUMMYFUNCTION("""COMPUTED_VALUE"""),"JESSICA")</f>
        <v>JESSICA</v>
      </c>
      <c r="C52" s="8" t="str">
        <f>IFERROR(__xludf.DUMMYFUNCTION("""COMPUTED_VALUE"""),"SYRACUSE")</f>
        <v>SYRACUSE</v>
      </c>
      <c r="D52" s="8" t="str">
        <f>IFERROR(__xludf.DUMMYFUNCTION("""COMPUTED_VALUE"""),"UT")</f>
        <v>UT</v>
      </c>
      <c r="E52" s="8" t="str">
        <f>IFERROR(__xludf.DUMMYFUNCTION("""COMPUTED_VALUE"""),"USA")</f>
        <v>USA</v>
      </c>
      <c r="F52" s="8" t="str">
        <f>IFERROR(__xludf.DUMMYFUNCTION("""COMPUTED_VALUE"""),"Womens A 501 Dbls")</f>
        <v>Womens A 501 Dbls</v>
      </c>
      <c r="G52" s="8" t="str">
        <f>IFERROR(__xludf.DUMMYFUNCTION("""COMPUTED_VALUE"""),"1st")</f>
        <v>1st</v>
      </c>
      <c r="H52" s="8" t="str">
        <f>IFERROR(__xludf.DUMMYFUNCTION("""COMPUTED_VALUE"""),"BS 38 Finals")</f>
        <v>BS 38 Finals</v>
      </c>
      <c r="I52" s="9">
        <f>IFERROR(__xludf.DUMMYFUNCTION("""COMPUTED_VALUE"""),45078.0)</f>
        <v>45078</v>
      </c>
      <c r="J52" s="9">
        <f>IFERROR(__xludf.DUMMYFUNCTION("""COMPUTED_VALUE"""),46539.0)</f>
        <v>46539</v>
      </c>
      <c r="K52" s="13">
        <f>IFERROR(__xludf.DUMMYFUNCTION("""COMPUTED_VALUE"""),47635.0)</f>
        <v>47635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7" t="str">
        <f>IFERROR(__xludf.DUMMYFUNCTION("""COMPUTED_VALUE"""),"Middleton")</f>
        <v>Middleton</v>
      </c>
      <c r="B53" s="8" t="str">
        <f>IFERROR(__xludf.DUMMYFUNCTION("""COMPUTED_VALUE"""),"Katherine")</f>
        <v>Katherine</v>
      </c>
      <c r="C53" s="8" t="str">
        <f>IFERROR(__xludf.DUMMYFUNCTION("""COMPUTED_VALUE"""),"Alma")</f>
        <v>Alma</v>
      </c>
      <c r="D53" s="8" t="str">
        <f>IFERROR(__xludf.DUMMYFUNCTION("""COMPUTED_VALUE"""),"MI")</f>
        <v>MI</v>
      </c>
      <c r="E53" s="8" t="str">
        <f>IFERROR(__xludf.DUMMYFUNCTION("""COMPUTED_VALUE"""),"USA")</f>
        <v>USA</v>
      </c>
      <c r="F53" s="8" t="str">
        <f>IFERROR(__xludf.DUMMYFUNCTION("""COMPUTED_VALUE"""),"Womens AA 501 Dbls")</f>
        <v>Womens AA 501 Dbls</v>
      </c>
      <c r="G53" s="8" t="str">
        <f>IFERROR(__xludf.DUMMYFUNCTION("""COMPUTED_VALUE"""),"3RD")</f>
        <v>3RD</v>
      </c>
      <c r="H53" s="8" t="str">
        <f>IFERROR(__xludf.DUMMYFUNCTION("""COMPUTED_VALUE"""),"BS 38 Finals")</f>
        <v>BS 38 Finals</v>
      </c>
      <c r="I53" s="9">
        <f>IFERROR(__xludf.DUMMYFUNCTION("""COMPUTED_VALUE"""),44713.0)</f>
        <v>44713</v>
      </c>
      <c r="J53" s="9">
        <f>IFERROR(__xludf.DUMMYFUNCTION("""COMPUTED_VALUE"""),46539.0)</f>
        <v>46539</v>
      </c>
      <c r="K53" s="13">
        <f>IFERROR(__xludf.DUMMYFUNCTION("""COMPUTED_VALUE"""),47635.0)</f>
        <v>47635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7" t="str">
        <f>IFERROR(__xludf.DUMMYFUNCTION("""COMPUTED_VALUE"""),"MURPHY")</f>
        <v>MURPHY</v>
      </c>
      <c r="B54" s="8" t="str">
        <f>IFERROR(__xludf.DUMMYFUNCTION("""COMPUTED_VALUE"""),"PAULA")</f>
        <v>PAULA</v>
      </c>
      <c r="C54" s="8" t="str">
        <f>IFERROR(__xludf.DUMMYFUNCTION("""COMPUTED_VALUE"""),"ORANGE PARK")</f>
        <v>ORANGE PARK</v>
      </c>
      <c r="D54" s="8" t="str">
        <f>IFERROR(__xludf.DUMMYFUNCTION("""COMPUTED_VALUE"""),"FL")</f>
        <v>FL</v>
      </c>
      <c r="E54" s="8" t="str">
        <f>IFERROR(__xludf.DUMMYFUNCTION("""COMPUTED_VALUE"""),"USA")</f>
        <v>USA</v>
      </c>
      <c r="F54" s="8" t="str">
        <f>IFERROR(__xludf.DUMMYFUNCTION("""COMPUTED_VALUE"""),"TopGun Women AA")</f>
        <v>TopGun Women AA</v>
      </c>
      <c r="G54" s="8" t="str">
        <f>IFERROR(__xludf.DUMMYFUNCTION("""COMPUTED_VALUE"""),"3-4th")</f>
        <v>3-4th</v>
      </c>
      <c r="H54" s="8" t="str">
        <f>IFERROR(__xludf.DUMMYFUNCTION("""COMPUTED_VALUE"""),"BS 38 Finals")</f>
        <v>BS 38 Finals</v>
      </c>
      <c r="I54" s="9">
        <f>IFERROR(__xludf.DUMMYFUNCTION("""COMPUTED_VALUE"""),45078.0)</f>
        <v>45078</v>
      </c>
      <c r="J54" s="9">
        <f>IFERROR(__xludf.DUMMYFUNCTION("""COMPUTED_VALUE"""),46539.0)</f>
        <v>46539</v>
      </c>
      <c r="K54" s="13">
        <f>IFERROR(__xludf.DUMMYFUNCTION("""COMPUTED_VALUE"""),47635.0)</f>
        <v>47635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7" t="str">
        <f>IFERROR(__xludf.DUMMYFUNCTION("""COMPUTED_VALUE"""),"MYERS")</f>
        <v>MYERS</v>
      </c>
      <c r="B55" s="8" t="str">
        <f>IFERROR(__xludf.DUMMYFUNCTION("""COMPUTED_VALUE"""),"KAITLIN")</f>
        <v>KAITLIN</v>
      </c>
      <c r="C55" s="8" t="str">
        <f>IFERROR(__xludf.DUMMYFUNCTION("""COMPUTED_VALUE"""),"ZEPHYR HILLS")</f>
        <v>ZEPHYR HILLS</v>
      </c>
      <c r="D55" s="8" t="str">
        <f>IFERROR(__xludf.DUMMYFUNCTION("""COMPUTED_VALUE"""),"FL")</f>
        <v>FL</v>
      </c>
      <c r="E55" s="8" t="str">
        <f>IFERROR(__xludf.DUMMYFUNCTION("""COMPUTED_VALUE"""),"USA")</f>
        <v>USA</v>
      </c>
      <c r="F55" s="8" t="str">
        <f>IFERROR(__xludf.DUMMYFUNCTION("""COMPUTED_VALUE"""),"WOMEN A CRICKET DBLS")</f>
        <v>WOMEN A CRICKET DBLS</v>
      </c>
      <c r="G55" s="8" t="str">
        <f>IFERROR(__xludf.DUMMYFUNCTION("""COMPUTED_VALUE"""),"1")</f>
        <v>1</v>
      </c>
      <c r="H55" s="8" t="str">
        <f>IFERROR(__xludf.DUMMYFUNCTION("""COMPUTED_VALUE"""),"BS 37 FINALS")</f>
        <v>BS 37 FINALS</v>
      </c>
      <c r="I55" s="9">
        <f>IFERROR(__xludf.DUMMYFUNCTION("""COMPUTED_VALUE"""),45078.0)</f>
        <v>45078</v>
      </c>
      <c r="J55" s="9">
        <f>IFERROR(__xludf.DUMMYFUNCTION("""COMPUTED_VALUE"""),46174.0)</f>
        <v>46174</v>
      </c>
      <c r="K55" s="13">
        <f>IFERROR(__xludf.DUMMYFUNCTION("""COMPUTED_VALUE"""),47270.0)</f>
        <v>47270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7" t="str">
        <f>IFERROR(__xludf.DUMMYFUNCTION("""COMPUTED_VALUE"""),"NIEDOSIK")</f>
        <v>NIEDOSIK</v>
      </c>
      <c r="B56" s="8" t="str">
        <f>IFERROR(__xludf.DUMMYFUNCTION("""COMPUTED_VALUE"""),"JENNIFER")</f>
        <v>JENNIFER</v>
      </c>
      <c r="C56" s="8" t="str">
        <f>IFERROR(__xludf.DUMMYFUNCTION("""COMPUTED_VALUE"""),"WAKEMAN")</f>
        <v>WAKEMAN</v>
      </c>
      <c r="D56" s="8" t="str">
        <f>IFERROR(__xludf.DUMMYFUNCTION("""COMPUTED_VALUE"""),"OH")</f>
        <v>OH</v>
      </c>
      <c r="E56" s="8" t="str">
        <f>IFERROR(__xludf.DUMMYFUNCTION("""COMPUTED_VALUE"""),"USA")</f>
        <v>USA</v>
      </c>
      <c r="F56" s="8" t="str">
        <f>IFERROR(__xludf.DUMMYFUNCTION("""COMPUTED_VALUE"""),"WOMEN A CRICKET DBLS")</f>
        <v>WOMEN A CRICKET DBLS</v>
      </c>
      <c r="G56" s="8" t="str">
        <f>IFERROR(__xludf.DUMMYFUNCTION("""COMPUTED_VALUE"""),"4")</f>
        <v>4</v>
      </c>
      <c r="H56" s="8" t="str">
        <f>IFERROR(__xludf.DUMMYFUNCTION("""COMPUTED_VALUE"""),"BS 37 FINALS")</f>
        <v>BS 37 FINALS</v>
      </c>
      <c r="I56" s="9">
        <f>IFERROR(__xludf.DUMMYFUNCTION("""COMPUTED_VALUE"""),45078.0)</f>
        <v>45078</v>
      </c>
      <c r="J56" s="9">
        <f>IFERROR(__xludf.DUMMYFUNCTION("""COMPUTED_VALUE"""),46174.0)</f>
        <v>46174</v>
      </c>
      <c r="K56" s="13">
        <f>IFERROR(__xludf.DUMMYFUNCTION("""COMPUTED_VALUE"""),47270.0)</f>
        <v>47270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7" t="str">
        <f>IFERROR(__xludf.DUMMYFUNCTION("""COMPUTED_VALUE"""),"Olson")</f>
        <v>Olson</v>
      </c>
      <c r="B57" s="8" t="str">
        <f>IFERROR(__xludf.DUMMYFUNCTION("""COMPUTED_VALUE"""),"Valerie")</f>
        <v>Valerie</v>
      </c>
      <c r="C57" s="8"/>
      <c r="D57" s="8"/>
      <c r="E57" s="8"/>
      <c r="F57" s="8" t="str">
        <f>IFERROR(__xludf.DUMMYFUNCTION("""COMPUTED_VALUE"""),"ADO List 2024")</f>
        <v>ADO List 2024</v>
      </c>
      <c r="G57" s="8"/>
      <c r="H57" s="8"/>
      <c r="I57" s="9">
        <f>IFERROR(__xludf.DUMMYFUNCTION("""COMPUTED_VALUE"""),45444.0)</f>
        <v>45444</v>
      </c>
      <c r="J57" s="9">
        <f>IFERROR(__xludf.DUMMYFUNCTION("""COMPUTED_VALUE"""),46539.0)</f>
        <v>46539</v>
      </c>
      <c r="K57" s="13">
        <f>IFERROR(__xludf.DUMMYFUNCTION("""COMPUTED_VALUE"""),47635.0)</f>
        <v>47635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7" t="str">
        <f>IFERROR(__xludf.DUMMYFUNCTION("""COMPUTED_VALUE"""),"PANTI")</f>
        <v>PANTI</v>
      </c>
      <c r="B58" s="8" t="str">
        <f>IFERROR(__xludf.DUMMYFUNCTION("""COMPUTED_VALUE"""),"KIMBERLY")</f>
        <v>KIMBERLY</v>
      </c>
      <c r="C58" s="8" t="str">
        <f>IFERROR(__xludf.DUMMYFUNCTION("""COMPUTED_VALUE"""),"JACKSONVILLE")</f>
        <v>JACKSONVILLE</v>
      </c>
      <c r="D58" s="8" t="str">
        <f>IFERROR(__xludf.DUMMYFUNCTION("""COMPUTED_VALUE"""),"FL")</f>
        <v>FL</v>
      </c>
      <c r="E58" s="8" t="str">
        <f>IFERROR(__xludf.DUMMYFUNCTION("""COMPUTED_VALUE"""),"USA")</f>
        <v>USA</v>
      </c>
      <c r="F58" s="8" t="str">
        <f>IFERROR(__xludf.DUMMYFUNCTION("""COMPUTED_VALUE"""),"WOMEN DBLS COMBO")</f>
        <v>WOMEN DBLS COMBO</v>
      </c>
      <c r="G58" s="8" t="str">
        <f>IFERROR(__xludf.DUMMYFUNCTION("""COMPUTED_VALUE"""),"1ST")</f>
        <v>1ST</v>
      </c>
      <c r="H58" s="8" t="str">
        <f>IFERROR(__xludf.DUMMYFUNCTION("""COMPUTED_VALUE"""),"FL BS 38")</f>
        <v>FL BS 38</v>
      </c>
      <c r="I58" s="9">
        <f>IFERROR(__xludf.DUMMYFUNCTION("""COMPUTED_VALUE"""),45444.0)</f>
        <v>45444</v>
      </c>
      <c r="J58" s="9">
        <f>IFERROR(__xludf.DUMMYFUNCTION("""COMPUTED_VALUE"""),46174.0)</f>
        <v>46174</v>
      </c>
      <c r="K58" s="13">
        <f>IFERROR(__xludf.DUMMYFUNCTION("""COMPUTED_VALUE"""),47270.0)</f>
        <v>47270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7" t="str">
        <f>IFERROR(__xludf.DUMMYFUNCTION("""COMPUTED_VALUE"""),"PHILLIPS")</f>
        <v>PHILLIPS</v>
      </c>
      <c r="B59" s="8" t="str">
        <f>IFERROR(__xludf.DUMMYFUNCTION("""COMPUTED_VALUE"""),"JILLIAN")</f>
        <v>JILLIAN</v>
      </c>
      <c r="C59" s="8" t="str">
        <f>IFERROR(__xludf.DUMMYFUNCTION("""COMPUTED_VALUE"""),"WEST VALLEY")</f>
        <v>WEST VALLEY</v>
      </c>
      <c r="D59" s="8" t="str">
        <f>IFERROR(__xludf.DUMMYFUNCTION("""COMPUTED_VALUE"""),"UT")</f>
        <v>UT</v>
      </c>
      <c r="E59" s="8" t="str">
        <f>IFERROR(__xludf.DUMMYFUNCTION("""COMPUTED_VALUE"""),"USA")</f>
        <v>USA</v>
      </c>
      <c r="F59" s="8" t="str">
        <f>IFERROR(__xludf.DUMMYFUNCTION("""COMPUTED_VALUE"""),"Womens A 501 Dbls")</f>
        <v>Womens A 501 Dbls</v>
      </c>
      <c r="G59" s="8" t="str">
        <f>IFERROR(__xludf.DUMMYFUNCTION("""COMPUTED_VALUE"""),"1st")</f>
        <v>1st</v>
      </c>
      <c r="H59" s="8" t="str">
        <f>IFERROR(__xludf.DUMMYFUNCTION("""COMPUTED_VALUE"""),"BS 38 Finals")</f>
        <v>BS 38 Finals</v>
      </c>
      <c r="I59" s="9">
        <f>IFERROR(__xludf.DUMMYFUNCTION("""COMPUTED_VALUE"""),45444.0)</f>
        <v>45444</v>
      </c>
      <c r="J59" s="9">
        <f>IFERROR(__xludf.DUMMYFUNCTION("""COMPUTED_VALUE"""),46539.0)</f>
        <v>46539</v>
      </c>
      <c r="K59" s="13">
        <f>IFERROR(__xludf.DUMMYFUNCTION("""COMPUTED_VALUE"""),47635.0)</f>
        <v>47635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7" t="str">
        <f>IFERROR(__xludf.DUMMYFUNCTION("""COMPUTED_VALUE"""),"Picket")</f>
        <v>Picket</v>
      </c>
      <c r="B60" s="8" t="str">
        <f>IFERROR(__xludf.DUMMYFUNCTION("""COMPUTED_VALUE"""),"Jennifer")</f>
        <v>Jennifer</v>
      </c>
      <c r="C60" s="8" t="str">
        <f>IFERROR(__xludf.DUMMYFUNCTION("""COMPUTED_VALUE"""),"Chicago")</f>
        <v>Chicago</v>
      </c>
      <c r="D60" s="8" t="str">
        <f>IFERROR(__xludf.DUMMYFUNCTION("""COMPUTED_VALUE"""),"IL")</f>
        <v>IL</v>
      </c>
      <c r="E60" s="8" t="str">
        <f>IFERROR(__xludf.DUMMYFUNCTION("""COMPUTED_VALUE"""),"USA")</f>
        <v>USA</v>
      </c>
      <c r="F60" s="8" t="str">
        <f>IFERROR(__xludf.DUMMYFUNCTION("""COMPUTED_VALUE"""),"WOMENS AA DBLS 501")</f>
        <v>WOMENS AA DBLS 501</v>
      </c>
      <c r="G60" s="8" t="str">
        <f>IFERROR(__xludf.DUMMYFUNCTION("""COMPUTED_VALUE"""),"3RD")</f>
        <v>3RD</v>
      </c>
      <c r="H60" s="8" t="str">
        <f>IFERROR(__xludf.DUMMYFUNCTION("""COMPUTED_VALUE"""),"BULLSHOOTER 36 FINALS")</f>
        <v>BULLSHOOTER 36 FINALS</v>
      </c>
      <c r="I60" s="9">
        <f>IFERROR(__xludf.DUMMYFUNCTION("""COMPUTED_VALUE"""),44713.0)</f>
        <v>44713</v>
      </c>
      <c r="J60" s="9">
        <f>IFERROR(__xludf.DUMMYFUNCTION("""COMPUTED_VALUE"""),45809.0)</f>
        <v>45809</v>
      </c>
      <c r="K60" s="13">
        <f>IFERROR(__xludf.DUMMYFUNCTION("""COMPUTED_VALUE"""),46905.0)</f>
        <v>46905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7" t="str">
        <f>IFERROR(__xludf.DUMMYFUNCTION("""COMPUTED_VALUE"""),"PLOUGHELD")</f>
        <v>PLOUGHELD</v>
      </c>
      <c r="B61" s="8" t="str">
        <f>IFERROR(__xludf.DUMMYFUNCTION("""COMPUTED_VALUE"""),"ANNEMARIE")</f>
        <v>ANNEMARIE</v>
      </c>
      <c r="C61" s="8"/>
      <c r="D61" s="8"/>
      <c r="E61" s="8" t="str">
        <f>IFERROR(__xludf.DUMMYFUNCTION("""COMPUTED_VALUE"""),"SPAIN")</f>
        <v>SPAIN</v>
      </c>
      <c r="F61" s="8" t="str">
        <f>IFERROR(__xludf.DUMMYFUNCTION("""COMPUTED_VALUE"""),"WOMEN A CRICKET DBLS")</f>
        <v>WOMEN A CRICKET DBLS</v>
      </c>
      <c r="G61" s="8" t="str">
        <f>IFERROR(__xludf.DUMMYFUNCTION("""COMPUTED_VALUE"""),"4")</f>
        <v>4</v>
      </c>
      <c r="H61" s="8" t="str">
        <f>IFERROR(__xludf.DUMMYFUNCTION("""COMPUTED_VALUE"""),"BS 37 FINALS")</f>
        <v>BS 37 FINALS</v>
      </c>
      <c r="I61" s="9">
        <f>IFERROR(__xludf.DUMMYFUNCTION("""COMPUTED_VALUE"""),45078.0)</f>
        <v>45078</v>
      </c>
      <c r="J61" s="9">
        <f>IFERROR(__xludf.DUMMYFUNCTION("""COMPUTED_VALUE"""),46174.0)</f>
        <v>46174</v>
      </c>
      <c r="K61" s="13">
        <f>IFERROR(__xludf.DUMMYFUNCTION("""COMPUTED_VALUE"""),47270.0)</f>
        <v>47270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7" t="str">
        <f>IFERROR(__xludf.DUMMYFUNCTION("""COMPUTED_VALUE"""),"Pluff-Romero")</f>
        <v>Pluff-Romero</v>
      </c>
      <c r="B62" s="8" t="str">
        <f>IFERROR(__xludf.DUMMYFUNCTION("""COMPUTED_VALUE"""),"Patricia")</f>
        <v>Patricia</v>
      </c>
      <c r="C62" s="8" t="str">
        <f>IFERROR(__xludf.DUMMYFUNCTION("""COMPUTED_VALUE"""),"Maplewood")</f>
        <v>Maplewood</v>
      </c>
      <c r="D62" s="8" t="str">
        <f>IFERROR(__xludf.DUMMYFUNCTION("""COMPUTED_VALUE"""),"MN")</f>
        <v>MN</v>
      </c>
      <c r="E62" s="8" t="str">
        <f>IFERROR(__xludf.DUMMYFUNCTION("""COMPUTED_VALUE"""),"USA")</f>
        <v>USA</v>
      </c>
      <c r="F62" s="8" t="str">
        <f>IFERROR(__xludf.DUMMYFUNCTION("""COMPUTED_VALUE"""),"WOMENS A/AA LUCK")</f>
        <v>WOMENS A/AA LUCK</v>
      </c>
      <c r="G62" s="8" t="str">
        <f>IFERROR(__xludf.DUMMYFUNCTION("""COMPUTED_VALUE"""),"2ND")</f>
        <v>2ND</v>
      </c>
      <c r="H62" s="8" t="str">
        <f>IFERROR(__xludf.DUMMYFUNCTION("""COMPUTED_VALUE"""),"BS 38 FINALS")</f>
        <v>BS 38 FINALS</v>
      </c>
      <c r="I62" s="9">
        <f>IFERROR(__xludf.DUMMYFUNCTION("""COMPUTED_VALUE"""),45444.0)</f>
        <v>45444</v>
      </c>
      <c r="J62" s="9">
        <f>IFERROR(__xludf.DUMMYFUNCTION("""COMPUTED_VALUE"""),46539.0)</f>
        <v>46539</v>
      </c>
      <c r="K62" s="13">
        <f>IFERROR(__xludf.DUMMYFUNCTION("""COMPUTED_VALUE"""),47635.0)</f>
        <v>47635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7" t="str">
        <f>IFERROR(__xludf.DUMMYFUNCTION("""COMPUTED_VALUE"""),"PRZYBYL")</f>
        <v>PRZYBYL</v>
      </c>
      <c r="B63" s="8" t="str">
        <f>IFERROR(__xludf.DUMMYFUNCTION("""COMPUTED_VALUE"""),"KASIA")</f>
        <v>KASIA</v>
      </c>
      <c r="C63" s="8" t="str">
        <f>IFERROR(__xludf.DUMMYFUNCTION("""COMPUTED_VALUE"""),"STERLING HEIGHTS")</f>
        <v>STERLING HEIGHTS</v>
      </c>
      <c r="D63" s="8" t="str">
        <f>IFERROR(__xludf.DUMMYFUNCTION("""COMPUTED_VALUE"""),"MI")</f>
        <v>MI</v>
      </c>
      <c r="E63" s="8" t="str">
        <f>IFERROR(__xludf.DUMMYFUNCTION("""COMPUTED_VALUE"""),"USA")</f>
        <v>USA</v>
      </c>
      <c r="F63" s="8" t="str">
        <f>IFERROR(__xludf.DUMMYFUNCTION("""COMPUTED_VALUE"""),"WOMEN DBLS COMBO")</f>
        <v>WOMEN DBLS COMBO</v>
      </c>
      <c r="G63" s="8" t="str">
        <f>IFERROR(__xludf.DUMMYFUNCTION("""COMPUTED_VALUE"""),"2ND")</f>
        <v>2ND</v>
      </c>
      <c r="H63" s="8" t="str">
        <f>IFERROR(__xludf.DUMMYFUNCTION("""COMPUTED_VALUE"""),"MI REGIONAL BS 38")</f>
        <v>MI REGIONAL BS 38</v>
      </c>
      <c r="I63" s="9">
        <f>IFERROR(__xludf.DUMMYFUNCTION("""COMPUTED_VALUE"""),45444.0)</f>
        <v>45444</v>
      </c>
      <c r="J63" s="9">
        <f>IFERROR(__xludf.DUMMYFUNCTION("""COMPUTED_VALUE"""),46174.0)</f>
        <v>46174</v>
      </c>
      <c r="K63" s="13">
        <f>IFERROR(__xludf.DUMMYFUNCTION("""COMPUTED_VALUE"""),47270.0)</f>
        <v>47270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7" t="str">
        <f>IFERROR(__xludf.DUMMYFUNCTION("""COMPUTED_VALUE"""),"Ramos")</f>
        <v>Ramos</v>
      </c>
      <c r="B64" s="8" t="str">
        <f>IFERROR(__xludf.DUMMYFUNCTION("""COMPUTED_VALUE"""),"Janie")</f>
        <v>Janie</v>
      </c>
      <c r="C64" s="8" t="str">
        <f>IFERROR(__xludf.DUMMYFUNCTION("""COMPUTED_VALUE"""),"Cedar Creek")</f>
        <v>Cedar Creek</v>
      </c>
      <c r="D64" s="8" t="str">
        <f>IFERROR(__xludf.DUMMYFUNCTION("""COMPUTED_VALUE"""),"TX")</f>
        <v>TX</v>
      </c>
      <c r="E64" s="8" t="str">
        <f>IFERROR(__xludf.DUMMYFUNCTION("""COMPUTED_VALUE"""),"USA")</f>
        <v>USA</v>
      </c>
      <c r="F64" s="8" t="str">
        <f>IFERROR(__xludf.DUMMYFUNCTION("""COMPUTED_VALUE"""),"WOMENS A DBLS 501")</f>
        <v>WOMENS A DBLS 501</v>
      </c>
      <c r="G64" s="8" t="str">
        <f>IFERROR(__xludf.DUMMYFUNCTION("""COMPUTED_VALUE"""),"3RD")</f>
        <v>3RD</v>
      </c>
      <c r="H64" s="8" t="str">
        <f>IFERROR(__xludf.DUMMYFUNCTION("""COMPUTED_VALUE"""),"BULLSHOOTER 36 FINALS")</f>
        <v>BULLSHOOTER 36 FINALS</v>
      </c>
      <c r="I64" s="9">
        <f>IFERROR(__xludf.DUMMYFUNCTION("""COMPUTED_VALUE"""),44713.0)</f>
        <v>44713</v>
      </c>
      <c r="J64" s="9">
        <f>IFERROR(__xludf.DUMMYFUNCTION("""COMPUTED_VALUE"""),45809.0)</f>
        <v>45809</v>
      </c>
      <c r="K64" s="13">
        <f>IFERROR(__xludf.DUMMYFUNCTION("""COMPUTED_VALUE"""),46905.0)</f>
        <v>46905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7" t="str">
        <f>IFERROR(__xludf.DUMMYFUNCTION("""COMPUTED_VALUE"""),"REED")</f>
        <v>REED</v>
      </c>
      <c r="B65" s="8" t="str">
        <f>IFERROR(__xludf.DUMMYFUNCTION("""COMPUTED_VALUE"""),"TRINA")</f>
        <v>TRINA</v>
      </c>
      <c r="C65" s="8" t="str">
        <f>IFERROR(__xludf.DUMMYFUNCTION("""COMPUTED_VALUE"""),"RACINE")</f>
        <v>RACINE</v>
      </c>
      <c r="D65" s="8" t="str">
        <f>IFERROR(__xludf.DUMMYFUNCTION("""COMPUTED_VALUE"""),"WI")</f>
        <v>WI</v>
      </c>
      <c r="E65" s="8" t="str">
        <f>IFERROR(__xludf.DUMMYFUNCTION("""COMPUTED_VALUE"""),"USA")</f>
        <v>USA</v>
      </c>
      <c r="F65" s="8" t="str">
        <f>IFERROR(__xludf.DUMMYFUNCTION("""COMPUTED_VALUE"""),"WOMEN AA 501 DBLS")</f>
        <v>WOMEN AA 501 DBLS</v>
      </c>
      <c r="G65" s="8" t="str">
        <f>IFERROR(__xludf.DUMMYFUNCTION("""COMPUTED_VALUE"""),"4")</f>
        <v>4</v>
      </c>
      <c r="H65" s="8" t="str">
        <f>IFERROR(__xludf.DUMMYFUNCTION("""COMPUTED_VALUE"""),"BS 37 FINALS")</f>
        <v>BS 37 FINALS</v>
      </c>
      <c r="I65" s="9">
        <f>IFERROR(__xludf.DUMMYFUNCTION("""COMPUTED_VALUE"""),45078.0)</f>
        <v>45078</v>
      </c>
      <c r="J65" s="9">
        <f>IFERROR(__xludf.DUMMYFUNCTION("""COMPUTED_VALUE"""),46174.0)</f>
        <v>46174</v>
      </c>
      <c r="K65" s="13">
        <f>IFERROR(__xludf.DUMMYFUNCTION("""COMPUTED_VALUE"""),47270.0)</f>
        <v>47270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7" t="str">
        <f>IFERROR(__xludf.DUMMYFUNCTION("""COMPUTED_VALUE"""),"Ripol")</f>
        <v>Ripol</v>
      </c>
      <c r="B66" s="8" t="str">
        <f>IFERROR(__xludf.DUMMYFUNCTION("""COMPUTED_VALUE"""),"Renee")</f>
        <v>Renee</v>
      </c>
      <c r="C66" s="8" t="str">
        <f>IFERROR(__xludf.DUMMYFUNCTION("""COMPUTED_VALUE"""),"DENVER")</f>
        <v>DENVER</v>
      </c>
      <c r="D66" s="8" t="str">
        <f>IFERROR(__xludf.DUMMYFUNCTION("""COMPUTED_VALUE"""),"CO")</f>
        <v>CO</v>
      </c>
      <c r="E66" s="8" t="str">
        <f>IFERROR(__xludf.DUMMYFUNCTION("""COMPUTED_VALUE"""),"USA")</f>
        <v>USA</v>
      </c>
      <c r="F66" s="8" t="str">
        <f>IFERROR(__xludf.DUMMYFUNCTION("""COMPUTED_VALUE"""),"ADO List 2024")</f>
        <v>ADO List 2024</v>
      </c>
      <c r="G66" s="8"/>
      <c r="H66" s="8"/>
      <c r="I66" s="9">
        <f>IFERROR(__xludf.DUMMYFUNCTION("""COMPUTED_VALUE"""),44713.0)</f>
        <v>44713</v>
      </c>
      <c r="J66" s="9">
        <f>IFERROR(__xludf.DUMMYFUNCTION("""COMPUTED_VALUE"""),46388.0)</f>
        <v>46388</v>
      </c>
      <c r="K66" s="13">
        <f>IFERROR(__xludf.DUMMYFUNCTION("""COMPUTED_VALUE"""),47635.0)</f>
        <v>47635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7" t="str">
        <f>IFERROR(__xludf.DUMMYFUNCTION("""COMPUTED_VALUE"""),"SCUDDER")</f>
        <v>SCUDDER</v>
      </c>
      <c r="B67" s="8" t="str">
        <f>IFERROR(__xludf.DUMMYFUNCTION("""COMPUTED_VALUE"""),"JEAN")</f>
        <v>JEAN</v>
      </c>
      <c r="C67" s="8" t="str">
        <f>IFERROR(__xludf.DUMMYFUNCTION("""COMPUTED_VALUE"""),"WIMAUMA")</f>
        <v>WIMAUMA</v>
      </c>
      <c r="D67" s="8" t="str">
        <f>IFERROR(__xludf.DUMMYFUNCTION("""COMPUTED_VALUE"""),"FL")</f>
        <v>FL</v>
      </c>
      <c r="E67" s="8" t="str">
        <f>IFERROR(__xludf.DUMMYFUNCTION("""COMPUTED_VALUE"""),"USA")</f>
        <v>USA</v>
      </c>
      <c r="F67" s="8" t="str">
        <f>IFERROR(__xludf.DUMMYFUNCTION("""COMPUTED_VALUE"""),"WOMEN A/AA COMB LUCK")</f>
        <v>WOMEN A/AA COMB LUCK</v>
      </c>
      <c r="G67" s="8" t="str">
        <f>IFERROR(__xludf.DUMMYFUNCTION("""COMPUTED_VALUE"""),"4TH")</f>
        <v>4TH</v>
      </c>
      <c r="H67" s="8" t="str">
        <f>IFERROR(__xludf.DUMMYFUNCTION("""COMPUTED_VALUE"""),"BS 38 FINALS")</f>
        <v>BS 38 FINALS</v>
      </c>
      <c r="I67" s="9">
        <f>IFERROR(__xludf.DUMMYFUNCTION("""COMPUTED_VALUE"""),45444.0)</f>
        <v>45444</v>
      </c>
      <c r="J67" s="9">
        <f>IFERROR(__xludf.DUMMYFUNCTION("""COMPUTED_VALUE"""),46539.0)</f>
        <v>46539</v>
      </c>
      <c r="K67" s="13">
        <f>IFERROR(__xludf.DUMMYFUNCTION("""COMPUTED_VALUE"""),47635.0)</f>
        <v>47635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7" t="str">
        <f>IFERROR(__xludf.DUMMYFUNCTION("""COMPUTED_VALUE"""),"SPOTT")</f>
        <v>SPOTT</v>
      </c>
      <c r="B68" s="8" t="str">
        <f>IFERROR(__xludf.DUMMYFUNCTION("""COMPUTED_VALUE"""),"ABBY")</f>
        <v>ABBY</v>
      </c>
      <c r="C68" s="8" t="str">
        <f>IFERROR(__xludf.DUMMYFUNCTION("""COMPUTED_VALUE"""),"NEW RICHMOND")</f>
        <v>NEW RICHMOND</v>
      </c>
      <c r="D68" s="8" t="str">
        <f>IFERROR(__xludf.DUMMYFUNCTION("""COMPUTED_VALUE"""),"IN")</f>
        <v>IN</v>
      </c>
      <c r="E68" s="8" t="str">
        <f>IFERROR(__xludf.DUMMYFUNCTION("""COMPUTED_VALUE"""),"USA")</f>
        <v>USA</v>
      </c>
      <c r="F68" s="8" t="str">
        <f>IFERROR(__xludf.DUMMYFUNCTION("""COMPUTED_VALUE"""),"Womens AA 501 Dbls")</f>
        <v>Womens AA 501 Dbls</v>
      </c>
      <c r="G68" s="8" t="str">
        <f>IFERROR(__xludf.DUMMYFUNCTION("""COMPUTED_VALUE"""),"1st")</f>
        <v>1st</v>
      </c>
      <c r="H68" s="8" t="str">
        <f>IFERROR(__xludf.DUMMYFUNCTION("""COMPUTED_VALUE"""),"BS 38 Finals")</f>
        <v>BS 38 Finals</v>
      </c>
      <c r="I68" s="9">
        <f>IFERROR(__xludf.DUMMYFUNCTION("""COMPUTED_VALUE"""),45078.0)</f>
        <v>45078</v>
      </c>
      <c r="J68" s="9">
        <f>IFERROR(__xludf.DUMMYFUNCTION("""COMPUTED_VALUE"""),46539.0)</f>
        <v>46539</v>
      </c>
      <c r="K68" s="13">
        <f>IFERROR(__xludf.DUMMYFUNCTION("""COMPUTED_VALUE"""),47635.0)</f>
        <v>47635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7" t="str">
        <f>IFERROR(__xludf.DUMMYFUNCTION("""COMPUTED_VALUE"""),"STEIN")</f>
        <v>STEIN</v>
      </c>
      <c r="B69" s="8" t="str">
        <f>IFERROR(__xludf.DUMMYFUNCTION("""COMPUTED_VALUE"""),"GERI")</f>
        <v>GERI</v>
      </c>
      <c r="C69" s="8" t="str">
        <f>IFERROR(__xludf.DUMMYFUNCTION("""COMPUTED_VALUE"""),"MIDLOTHIAN")</f>
        <v>MIDLOTHIAN</v>
      </c>
      <c r="D69" s="8" t="str">
        <f>IFERROR(__xludf.DUMMYFUNCTION("""COMPUTED_VALUE"""),"IL")</f>
        <v>IL</v>
      </c>
      <c r="E69" s="8" t="str">
        <f>IFERROR(__xludf.DUMMYFUNCTION("""COMPUTED_VALUE"""),"USA")</f>
        <v>USA</v>
      </c>
      <c r="F69" s="8" t="str">
        <f>IFERROR(__xludf.DUMMYFUNCTION("""COMPUTED_VALUE"""),"WOMEN A 501 DBLS")</f>
        <v>WOMEN A 501 DBLS</v>
      </c>
      <c r="G69" s="8" t="str">
        <f>IFERROR(__xludf.DUMMYFUNCTION("""COMPUTED_VALUE"""),"3")</f>
        <v>3</v>
      </c>
      <c r="H69" s="8" t="str">
        <f>IFERROR(__xludf.DUMMYFUNCTION("""COMPUTED_VALUE"""),"BS 37 FINALS")</f>
        <v>BS 37 FINALS</v>
      </c>
      <c r="I69" s="9">
        <f>IFERROR(__xludf.DUMMYFUNCTION("""COMPUTED_VALUE"""),45078.0)</f>
        <v>45078</v>
      </c>
      <c r="J69" s="9">
        <f>IFERROR(__xludf.DUMMYFUNCTION("""COMPUTED_VALUE"""),46174.0)</f>
        <v>46174</v>
      </c>
      <c r="K69" s="13">
        <f>IFERROR(__xludf.DUMMYFUNCTION("""COMPUTED_VALUE"""),47270.0)</f>
        <v>47270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7" t="str">
        <f>IFERROR(__xludf.DUMMYFUNCTION("""COMPUTED_VALUE"""),"SZYMCZAK")</f>
        <v>SZYMCZAK</v>
      </c>
      <c r="B70" s="8" t="str">
        <f>IFERROR(__xludf.DUMMYFUNCTION("""COMPUTED_VALUE"""),"ALIVIA")</f>
        <v>ALIVIA</v>
      </c>
      <c r="C70" s="8" t="str">
        <f>IFERROR(__xludf.DUMMYFUNCTION("""COMPUTED_VALUE"""),"MANSFIELD")</f>
        <v>MANSFIELD</v>
      </c>
      <c r="D70" s="8" t="str">
        <f>IFERROR(__xludf.DUMMYFUNCTION("""COMPUTED_VALUE"""),"OH")</f>
        <v>OH</v>
      </c>
      <c r="E70" s="8" t="str">
        <f>IFERROR(__xludf.DUMMYFUNCTION("""COMPUTED_VALUE"""),"USA")</f>
        <v>USA</v>
      </c>
      <c r="F70" s="8" t="str">
        <f>IFERROR(__xludf.DUMMYFUNCTION("""COMPUTED_VALUE"""),"WOMEN AA CRICKET DBLS")</f>
        <v>WOMEN AA CRICKET DBLS</v>
      </c>
      <c r="G70" s="8" t="str">
        <f>IFERROR(__xludf.DUMMYFUNCTION("""COMPUTED_VALUE"""),"2")</f>
        <v>2</v>
      </c>
      <c r="H70" s="8" t="str">
        <f>IFERROR(__xludf.DUMMYFUNCTION("""COMPUTED_VALUE"""),"BS 37 FINALS")</f>
        <v>BS 37 FINALS</v>
      </c>
      <c r="I70" s="9">
        <f>IFERROR(__xludf.DUMMYFUNCTION("""COMPUTED_VALUE"""),45078.0)</f>
        <v>45078</v>
      </c>
      <c r="J70" s="9">
        <f>IFERROR(__xludf.DUMMYFUNCTION("""COMPUTED_VALUE"""),46174.0)</f>
        <v>46174</v>
      </c>
      <c r="K70" s="13">
        <f>IFERROR(__xludf.DUMMYFUNCTION("""COMPUTED_VALUE"""),47270.0)</f>
        <v>47270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7" t="str">
        <f>IFERROR(__xludf.DUMMYFUNCTION("""COMPUTED_VALUE"""),"TALKS")</f>
        <v>TALKS</v>
      </c>
      <c r="B71" s="8" t="str">
        <f>IFERROR(__xludf.DUMMYFUNCTION("""COMPUTED_VALUE"""),"VANESSA")</f>
        <v>VANESSA</v>
      </c>
      <c r="C71" s="8" t="str">
        <f>IFERROR(__xludf.DUMMYFUNCTION("""COMPUTED_VALUE"""),"JACKSON")</f>
        <v>JACKSON</v>
      </c>
      <c r="D71" s="8" t="str">
        <f>IFERROR(__xludf.DUMMYFUNCTION("""COMPUTED_VALUE"""),"MN")</f>
        <v>MN</v>
      </c>
      <c r="E71" s="8" t="str">
        <f>IFERROR(__xludf.DUMMYFUNCTION("""COMPUTED_VALUE"""),"4TH")</f>
        <v>4TH</v>
      </c>
      <c r="F71" s="8" t="str">
        <f>IFERROR(__xludf.DUMMYFUNCTION("""COMPUTED_VALUE"""),"TopGun Pro Mixed")</f>
        <v>TopGun Pro Mixed</v>
      </c>
      <c r="G71" s="8" t="str">
        <f>IFERROR(__xludf.DUMMYFUNCTION("""COMPUTED_VALUE"""),"3-4th")</f>
        <v>3-4th</v>
      </c>
      <c r="H71" s="8" t="str">
        <f>IFERROR(__xludf.DUMMYFUNCTION("""COMPUTED_VALUE"""),"BS 38 Finals")</f>
        <v>BS 38 Finals</v>
      </c>
      <c r="I71" s="9">
        <f>IFERROR(__xludf.DUMMYFUNCTION("""COMPUTED_VALUE"""),44713.0)</f>
        <v>44713</v>
      </c>
      <c r="J71" s="9">
        <f>IFERROR(__xludf.DUMMYFUNCTION("""COMPUTED_VALUE"""),46539.0)</f>
        <v>46539</v>
      </c>
      <c r="K71" s="13">
        <f>IFERROR(__xludf.DUMMYFUNCTION("""COMPUTED_VALUE"""),47635.0)</f>
        <v>47635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7" t="str">
        <f>IFERROR(__xludf.DUMMYFUNCTION("""COMPUTED_VALUE"""),"Taylor")</f>
        <v>Taylor</v>
      </c>
      <c r="B72" s="8" t="str">
        <f>IFERROR(__xludf.DUMMYFUNCTION("""COMPUTED_VALUE"""),"Andrea")</f>
        <v>Andrea</v>
      </c>
      <c r="C72" s="8"/>
      <c r="D72" s="8"/>
      <c r="E72" s="8"/>
      <c r="F72" s="8" t="str">
        <f>IFERROR(__xludf.DUMMYFUNCTION("""COMPUTED_VALUE"""),"ADO List 2024")</f>
        <v>ADO List 2024</v>
      </c>
      <c r="G72" s="8"/>
      <c r="H72" s="8"/>
      <c r="I72" s="9">
        <f>IFERROR(__xludf.DUMMYFUNCTION("""COMPUTED_VALUE"""),45444.0)</f>
        <v>45444</v>
      </c>
      <c r="J72" s="9">
        <f>IFERROR(__xludf.DUMMYFUNCTION("""COMPUTED_VALUE"""),46539.0)</f>
        <v>46539</v>
      </c>
      <c r="K72" s="13">
        <f>IFERROR(__xludf.DUMMYFUNCTION("""COMPUTED_VALUE"""),47635.0)</f>
        <v>47635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7" t="str">
        <f>IFERROR(__xludf.DUMMYFUNCTION("""COMPUTED_VALUE"""),"TERRY")</f>
        <v>TERRY</v>
      </c>
      <c r="B73" s="8" t="str">
        <f>IFERROR(__xludf.DUMMYFUNCTION("""COMPUTED_VALUE"""),"OLIVIA")</f>
        <v>OLIVIA</v>
      </c>
      <c r="C73" s="8" t="str">
        <f>IFERROR(__xludf.DUMMYFUNCTION("""COMPUTED_VALUE"""),"TOLEDO")</f>
        <v>TOLEDO</v>
      </c>
      <c r="D73" s="8" t="str">
        <f>IFERROR(__xludf.DUMMYFUNCTION("""COMPUTED_VALUE"""),"OH")</f>
        <v>OH</v>
      </c>
      <c r="E73" s="8" t="str">
        <f>IFERROR(__xludf.DUMMYFUNCTION("""COMPUTED_VALUE"""),"USA")</f>
        <v>USA</v>
      </c>
      <c r="F73" s="8" t="str">
        <f>IFERROR(__xludf.DUMMYFUNCTION("""COMPUTED_VALUE"""),"WOMEN SNG COMBO")</f>
        <v>WOMEN SNG COMBO</v>
      </c>
      <c r="G73" s="8" t="str">
        <f>IFERROR(__xludf.DUMMYFUNCTION("""COMPUTED_VALUE"""),"3RD")</f>
        <v>3RD</v>
      </c>
      <c r="H73" s="8" t="str">
        <f>IFERROR(__xludf.DUMMYFUNCTION("""COMPUTED_VALUE"""),"SC REGIONAL BS 38")</f>
        <v>SC REGIONAL BS 38</v>
      </c>
      <c r="I73" s="9">
        <f>IFERROR(__xludf.DUMMYFUNCTION("""COMPUTED_VALUE"""),45444.0)</f>
        <v>45444</v>
      </c>
      <c r="J73" s="9">
        <f>IFERROR(__xludf.DUMMYFUNCTION("""COMPUTED_VALUE"""),46174.0)</f>
        <v>46174</v>
      </c>
      <c r="K73" s="13">
        <f>IFERROR(__xludf.DUMMYFUNCTION("""COMPUTED_VALUE"""),47270.0)</f>
        <v>47270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7" t="str">
        <f>IFERROR(__xludf.DUMMYFUNCTION("""COMPUTED_VALUE"""),"Thaxton")</f>
        <v>Thaxton</v>
      </c>
      <c r="B74" s="8" t="str">
        <f>IFERROR(__xludf.DUMMYFUNCTION("""COMPUTED_VALUE"""),"Taylor")</f>
        <v>Taylor</v>
      </c>
      <c r="C74" s="8" t="str">
        <f>IFERROR(__xludf.DUMMYFUNCTION("""COMPUTED_VALUE"""),"WEST CHESTER")</f>
        <v>WEST CHESTER</v>
      </c>
      <c r="D74" s="8" t="str">
        <f>IFERROR(__xludf.DUMMYFUNCTION("""COMPUTED_VALUE"""),"OH")</f>
        <v>OH</v>
      </c>
      <c r="E74" s="8" t="str">
        <f>IFERROR(__xludf.DUMMYFUNCTION("""COMPUTED_VALUE"""),"USA")</f>
        <v>USA</v>
      </c>
      <c r="F74" s="8" t="str">
        <f>IFERROR(__xludf.DUMMYFUNCTION("""COMPUTED_VALUE"""),"Womens A 501 Dbls")</f>
        <v>Womens A 501 Dbls</v>
      </c>
      <c r="G74" s="8" t="str">
        <f>IFERROR(__xludf.DUMMYFUNCTION("""COMPUTED_VALUE"""),"2nd")</f>
        <v>2nd</v>
      </c>
      <c r="H74" s="8" t="str">
        <f>IFERROR(__xludf.DUMMYFUNCTION("""COMPUTED_VALUE"""),"BS 38 Finals")</f>
        <v>BS 38 Finals</v>
      </c>
      <c r="I74" s="9">
        <f>IFERROR(__xludf.DUMMYFUNCTION("""COMPUTED_VALUE"""),45444.0)</f>
        <v>45444</v>
      </c>
      <c r="J74" s="9">
        <f>IFERROR(__xludf.DUMMYFUNCTION("""COMPUTED_VALUE"""),46539.0)</f>
        <v>46539</v>
      </c>
      <c r="K74" s="13">
        <f>IFERROR(__xludf.DUMMYFUNCTION("""COMPUTED_VALUE"""),47635.0)</f>
        <v>47635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7" t="str">
        <f>IFERROR(__xludf.DUMMYFUNCTION("""COMPUTED_VALUE"""),"THIBAULT")</f>
        <v>THIBAULT</v>
      </c>
      <c r="B75" s="8" t="str">
        <f>IFERROR(__xludf.DUMMYFUNCTION("""COMPUTED_VALUE"""),"KELLY")</f>
        <v>KELLY</v>
      </c>
      <c r="C75" s="8" t="str">
        <f>IFERROR(__xludf.DUMMYFUNCTION("""COMPUTED_VALUE"""),"LYMAN")</f>
        <v>LYMAN</v>
      </c>
      <c r="D75" s="8" t="str">
        <f>IFERROR(__xludf.DUMMYFUNCTION("""COMPUTED_VALUE"""),"ME")</f>
        <v>ME</v>
      </c>
      <c r="E75" s="8" t="str">
        <f>IFERROR(__xludf.DUMMYFUNCTION("""COMPUTED_VALUE"""),"USA")</f>
        <v>USA</v>
      </c>
      <c r="F75" s="8" t="str">
        <f>IFERROR(__xludf.DUMMYFUNCTION("""COMPUTED_VALUE"""),"WOMEN SNG COMBO")</f>
        <v>WOMEN SNG COMBO</v>
      </c>
      <c r="G75" s="8" t="str">
        <f>IFERROR(__xludf.DUMMYFUNCTION("""COMPUTED_VALUE"""),"1")</f>
        <v>1</v>
      </c>
      <c r="H75" s="8" t="str">
        <f>IFERROR(__xludf.DUMMYFUNCTION("""COMPUTED_VALUE"""),"SC REGIONAL BS 38")</f>
        <v>SC REGIONAL BS 38</v>
      </c>
      <c r="I75" s="9">
        <f>IFERROR(__xludf.DUMMYFUNCTION("""COMPUTED_VALUE"""),45444.0)</f>
        <v>45444</v>
      </c>
      <c r="J75" s="9">
        <f>IFERROR(__xludf.DUMMYFUNCTION("""COMPUTED_VALUE"""),46174.0)</f>
        <v>46174</v>
      </c>
      <c r="K75" s="13">
        <f>IFERROR(__xludf.DUMMYFUNCTION("""COMPUTED_VALUE"""),47270.0)</f>
        <v>47270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7" t="str">
        <f>IFERROR(__xludf.DUMMYFUNCTION("""COMPUTED_VALUE"""),"TYNAN")</f>
        <v>TYNAN</v>
      </c>
      <c r="B76" s="8" t="str">
        <f>IFERROR(__xludf.DUMMYFUNCTION("""COMPUTED_VALUE"""),"ELIZABETH")</f>
        <v>ELIZABETH</v>
      </c>
      <c r="C76" s="8" t="str">
        <f>IFERROR(__xludf.DUMMYFUNCTION("""COMPUTED_VALUE"""),"CHICAGO")</f>
        <v>CHICAGO</v>
      </c>
      <c r="D76" s="8" t="str">
        <f>IFERROR(__xludf.DUMMYFUNCTION("""COMPUTED_VALUE"""),"IL")</f>
        <v>IL</v>
      </c>
      <c r="E76" s="8" t="str">
        <f>IFERROR(__xludf.DUMMYFUNCTION("""COMPUTED_VALUE"""),"USA")</f>
        <v>USA</v>
      </c>
      <c r="F76" s="8" t="str">
        <f>IFERROR(__xludf.DUMMYFUNCTION("""COMPUTED_VALUE"""),"TopGun Women AA")</f>
        <v>TopGun Women AA</v>
      </c>
      <c r="G76" s="8" t="str">
        <f>IFERROR(__xludf.DUMMYFUNCTION("""COMPUTED_VALUE"""),"1st")</f>
        <v>1st</v>
      </c>
      <c r="H76" s="8" t="str">
        <f>IFERROR(__xludf.DUMMYFUNCTION("""COMPUTED_VALUE"""),"BS 38 Finals")</f>
        <v>BS 38 Finals</v>
      </c>
      <c r="I76" s="9">
        <f>IFERROR(__xludf.DUMMYFUNCTION("""COMPUTED_VALUE"""),45078.0)</f>
        <v>45078</v>
      </c>
      <c r="J76" s="9">
        <f>IFERROR(__xludf.DUMMYFUNCTION("""COMPUTED_VALUE"""),46539.0)</f>
        <v>46539</v>
      </c>
      <c r="K76" s="13">
        <f>IFERROR(__xludf.DUMMYFUNCTION("""COMPUTED_VALUE"""),47635.0)</f>
        <v>47635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7" t="str">
        <f>IFERROR(__xludf.DUMMYFUNCTION("""COMPUTED_VALUE"""),"Walz")</f>
        <v>Walz</v>
      </c>
      <c r="B77" s="8" t="str">
        <f>IFERROR(__xludf.DUMMYFUNCTION("""COMPUTED_VALUE"""),"Patty")</f>
        <v>Patty</v>
      </c>
      <c r="C77" s="8"/>
      <c r="D77" s="8" t="str">
        <f>IFERROR(__xludf.DUMMYFUNCTION("""COMPUTED_VALUE"""),"UNK")</f>
        <v>UNK</v>
      </c>
      <c r="E77" s="8" t="str">
        <f>IFERROR(__xludf.DUMMYFUNCTION("""COMPUTED_VALUE"""),"UNK")</f>
        <v>UNK</v>
      </c>
      <c r="F77" s="8" t="str">
        <f>IFERROR(__xludf.DUMMYFUNCTION("""COMPUTED_VALUE"""),"ADO List 2024")</f>
        <v>ADO List 2024</v>
      </c>
      <c r="G77" s="8"/>
      <c r="H77" s="8"/>
      <c r="I77" s="9">
        <f>IFERROR(__xludf.DUMMYFUNCTION("""COMPUTED_VALUE"""),45444.0)</f>
        <v>45444</v>
      </c>
      <c r="J77" s="9">
        <f>IFERROR(__xludf.DUMMYFUNCTION("""COMPUTED_VALUE"""),46539.0)</f>
        <v>46539</v>
      </c>
      <c r="K77" s="13">
        <f>IFERROR(__xludf.DUMMYFUNCTION("""COMPUTED_VALUE"""),47635.0)</f>
        <v>47635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7" t="str">
        <f>IFERROR(__xludf.DUMMYFUNCTION("""COMPUTED_VALUE"""),"WEGER")</f>
        <v>WEGER</v>
      </c>
      <c r="B78" s="8" t="str">
        <f>IFERROR(__xludf.DUMMYFUNCTION("""COMPUTED_VALUE"""),"JULIE")</f>
        <v>JULIE</v>
      </c>
      <c r="C78" s="8" t="str">
        <f>IFERROR(__xludf.DUMMYFUNCTION("""COMPUTED_VALUE"""),"BLOOMINGTON")</f>
        <v>BLOOMINGTON</v>
      </c>
      <c r="D78" s="8" t="str">
        <f>IFERROR(__xludf.DUMMYFUNCTION("""COMPUTED_VALUE"""),"IL")</f>
        <v>IL</v>
      </c>
      <c r="E78" s="8" t="str">
        <f>IFERROR(__xludf.DUMMYFUNCTION("""COMPUTED_VALUE"""),"USA")</f>
        <v>USA</v>
      </c>
      <c r="F78" s="8" t="str">
        <f>IFERROR(__xludf.DUMMYFUNCTION("""COMPUTED_VALUE"""),"WOMEN AA 501 DBLS")</f>
        <v>WOMEN AA 501 DBLS</v>
      </c>
      <c r="G78" s="8" t="str">
        <f>IFERROR(__xludf.DUMMYFUNCTION("""COMPUTED_VALUE"""),"2")</f>
        <v>2</v>
      </c>
      <c r="H78" s="8" t="str">
        <f>IFERROR(__xludf.DUMMYFUNCTION("""COMPUTED_VALUE"""),"BS 37 FINALS")</f>
        <v>BS 37 FINALS</v>
      </c>
      <c r="I78" s="9">
        <f>IFERROR(__xludf.DUMMYFUNCTION("""COMPUTED_VALUE"""),45078.0)</f>
        <v>45078</v>
      </c>
      <c r="J78" s="9">
        <f>IFERROR(__xludf.DUMMYFUNCTION("""COMPUTED_VALUE"""),46174.0)</f>
        <v>46174</v>
      </c>
      <c r="K78" s="13">
        <f>IFERROR(__xludf.DUMMYFUNCTION("""COMPUTED_VALUE"""),47270.0)</f>
        <v>47270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7" t="str">
        <f>IFERROR(__xludf.DUMMYFUNCTION("""COMPUTED_VALUE"""),"Welty")</f>
        <v>Welty</v>
      </c>
      <c r="B79" s="8" t="str">
        <f>IFERROR(__xludf.DUMMYFUNCTION("""COMPUTED_VALUE"""),"Celena")</f>
        <v>Celena</v>
      </c>
      <c r="C79" s="8" t="str">
        <f>IFERROR(__xludf.DUMMYFUNCTION("""COMPUTED_VALUE"""),"Littlestown")</f>
        <v>Littlestown</v>
      </c>
      <c r="D79" s="8" t="str">
        <f>IFERROR(__xludf.DUMMYFUNCTION("""COMPUTED_VALUE"""),"PA")</f>
        <v>PA</v>
      </c>
      <c r="E79" s="8" t="str">
        <f>IFERROR(__xludf.DUMMYFUNCTION("""COMPUTED_VALUE"""),"USA")</f>
        <v>USA</v>
      </c>
      <c r="F79" s="8" t="str">
        <f>IFERROR(__xludf.DUMMYFUNCTION("""COMPUTED_VALUE"""),"WOMENS A DBLS 501")</f>
        <v>WOMENS A DBLS 501</v>
      </c>
      <c r="G79" s="8" t="str">
        <f>IFERROR(__xludf.DUMMYFUNCTION("""COMPUTED_VALUE"""),"1ST")</f>
        <v>1ST</v>
      </c>
      <c r="H79" s="8" t="str">
        <f>IFERROR(__xludf.DUMMYFUNCTION("""COMPUTED_VALUE"""),"BULLSHOOTER 36 FINALS")</f>
        <v>BULLSHOOTER 36 FINALS</v>
      </c>
      <c r="I79" s="9">
        <f>IFERROR(__xludf.DUMMYFUNCTION("""COMPUTED_VALUE"""),44713.0)</f>
        <v>44713</v>
      </c>
      <c r="J79" s="9">
        <f>IFERROR(__xludf.DUMMYFUNCTION("""COMPUTED_VALUE"""),45809.0)</f>
        <v>45809</v>
      </c>
      <c r="K79" s="13">
        <f>IFERROR(__xludf.DUMMYFUNCTION("""COMPUTED_VALUE"""),46905.0)</f>
        <v>46905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7" t="str">
        <f>IFERROR(__xludf.DUMMYFUNCTION("""COMPUTED_VALUE"""),"West")</f>
        <v>West</v>
      </c>
      <c r="B80" s="8" t="str">
        <f>IFERROR(__xludf.DUMMYFUNCTION("""COMPUTED_VALUE"""),"Cali")</f>
        <v>Cali</v>
      </c>
      <c r="C80" s="8"/>
      <c r="D80" s="8"/>
      <c r="E80" s="8" t="str">
        <f>IFERROR(__xludf.DUMMYFUNCTION("""COMPUTED_VALUE"""),"USA")</f>
        <v>USA</v>
      </c>
      <c r="F80" s="8" t="str">
        <f>IFERROR(__xludf.DUMMYFUNCTION("""COMPUTED_VALUE"""),"ADO List 2024")</f>
        <v>ADO List 2024</v>
      </c>
      <c r="G80" s="8"/>
      <c r="H80" s="8"/>
      <c r="I80" s="9">
        <f>IFERROR(__xludf.DUMMYFUNCTION("""COMPUTED_VALUE"""),44348.0)</f>
        <v>44348</v>
      </c>
      <c r="J80" s="9">
        <f>IFERROR(__xludf.DUMMYFUNCTION("""COMPUTED_VALUE"""),46388.0)</f>
        <v>46388</v>
      </c>
      <c r="K80" s="13">
        <f>IFERROR(__xludf.DUMMYFUNCTION("""COMPUTED_VALUE"""),47635.0)</f>
        <v>47635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7" t="str">
        <f>IFERROR(__xludf.DUMMYFUNCTION("""COMPUTED_VALUE"""),"WOMACK")</f>
        <v>WOMACK</v>
      </c>
      <c r="B81" s="8" t="str">
        <f>IFERROR(__xludf.DUMMYFUNCTION("""COMPUTED_VALUE"""),"CODIE")</f>
        <v>CODIE</v>
      </c>
      <c r="C81" s="8" t="str">
        <f>IFERROR(__xludf.DUMMYFUNCTION("""COMPUTED_VALUE"""),"OOLTEWAH")</f>
        <v>OOLTEWAH</v>
      </c>
      <c r="D81" s="8" t="str">
        <f>IFERROR(__xludf.DUMMYFUNCTION("""COMPUTED_VALUE"""),"TN")</f>
        <v>TN</v>
      </c>
      <c r="E81" s="8" t="str">
        <f>IFERROR(__xludf.DUMMYFUNCTION("""COMPUTED_VALUE"""),"USA")</f>
        <v>USA</v>
      </c>
      <c r="F81" s="8" t="str">
        <f>IFERROR(__xludf.DUMMYFUNCTION("""COMPUTED_VALUE"""),"WOMENS DBLS CRICKET")</f>
        <v>WOMENS DBLS CRICKET</v>
      </c>
      <c r="G81" s="8" t="str">
        <f>IFERROR(__xludf.DUMMYFUNCTION("""COMPUTED_VALUE"""),"3RD")</f>
        <v>3RD</v>
      </c>
      <c r="H81" s="8" t="str">
        <f>IFERROR(__xludf.DUMMYFUNCTION("""COMPUTED_VALUE"""),"BULLSHOOTER 36 FINALS")</f>
        <v>BULLSHOOTER 36 FINALS</v>
      </c>
      <c r="I81" s="9">
        <f>IFERROR(__xludf.DUMMYFUNCTION("""COMPUTED_VALUE"""),44713.0)</f>
        <v>44713</v>
      </c>
      <c r="J81" s="9">
        <f>IFERROR(__xludf.DUMMYFUNCTION("""COMPUTED_VALUE"""),45809.0)</f>
        <v>45809</v>
      </c>
      <c r="K81" s="13">
        <f>IFERROR(__xludf.DUMMYFUNCTION("""COMPUTED_VALUE"""),46905.0)</f>
        <v>46905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7" t="str">
        <f>IFERROR(__xludf.DUMMYFUNCTION("""COMPUTED_VALUE"""),"YEE")</f>
        <v>YEE</v>
      </c>
      <c r="B82" s="8" t="str">
        <f>IFERROR(__xludf.DUMMYFUNCTION("""COMPUTED_VALUE"""),"LISA")</f>
        <v>LISA</v>
      </c>
      <c r="C82" s="8" t="str">
        <f>IFERROR(__xludf.DUMMYFUNCTION("""COMPUTED_VALUE"""),"PHOENIX")</f>
        <v>PHOENIX</v>
      </c>
      <c r="D82" s="8" t="str">
        <f>IFERROR(__xludf.DUMMYFUNCTION("""COMPUTED_VALUE"""),"AZ")</f>
        <v>AZ</v>
      </c>
      <c r="E82" s="8" t="str">
        <f>IFERROR(__xludf.DUMMYFUNCTION("""COMPUTED_VALUE"""),"USA")</f>
        <v>USA</v>
      </c>
      <c r="F82" s="8" t="str">
        <f>IFERROR(__xludf.DUMMYFUNCTION("""COMPUTED_VALUE"""),"TOPGUN WOMEN A SINGLES")</f>
        <v>TOPGUN WOMEN A SINGLES</v>
      </c>
      <c r="G82" s="8" t="str">
        <f>IFERROR(__xludf.DUMMYFUNCTION("""COMPUTED_VALUE"""),"3 4")</f>
        <v>3 4</v>
      </c>
      <c r="H82" s="8" t="str">
        <f>IFERROR(__xludf.DUMMYFUNCTION("""COMPUTED_VALUE"""),"BS 37 FINALS")</f>
        <v>BS 37 FINALS</v>
      </c>
      <c r="I82" s="9">
        <f>IFERROR(__xludf.DUMMYFUNCTION("""COMPUTED_VALUE"""),45078.0)</f>
        <v>45078</v>
      </c>
      <c r="J82" s="9">
        <f>IFERROR(__xludf.DUMMYFUNCTION("""COMPUTED_VALUE"""),46174.0)</f>
        <v>46174</v>
      </c>
      <c r="K82" s="13">
        <f>IFERROR(__xludf.DUMMYFUNCTION("""COMPUTED_VALUE"""),47270.0)</f>
        <v>47270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7"/>
      <c r="B83" s="8"/>
      <c r="C83" s="8"/>
      <c r="D83" s="8"/>
      <c r="E83" s="8"/>
      <c r="F83" s="8"/>
      <c r="G83" s="8"/>
      <c r="H83" s="8"/>
      <c r="I83" s="9"/>
      <c r="J83" s="9"/>
      <c r="K83" s="10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7"/>
      <c r="B84" s="8"/>
      <c r="C84" s="8"/>
      <c r="D84" s="8"/>
      <c r="E84" s="8"/>
      <c r="F84" s="8"/>
      <c r="G84" s="8"/>
      <c r="H84" s="8"/>
      <c r="I84" s="9"/>
      <c r="J84" s="9"/>
      <c r="K84" s="10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7"/>
      <c r="B85" s="8"/>
      <c r="C85" s="8"/>
      <c r="D85" s="8"/>
      <c r="E85" s="8"/>
      <c r="F85" s="8"/>
      <c r="G85" s="8"/>
      <c r="H85" s="8"/>
      <c r="I85" s="9"/>
      <c r="J85" s="9"/>
      <c r="K85" s="10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7"/>
      <c r="B86" s="8"/>
      <c r="C86" s="8"/>
      <c r="D86" s="8"/>
      <c r="E86" s="8"/>
      <c r="F86" s="8"/>
      <c r="G86" s="8"/>
      <c r="H86" s="8"/>
      <c r="I86" s="9"/>
      <c r="J86" s="9"/>
      <c r="K86" s="10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7"/>
      <c r="B87" s="8"/>
      <c r="C87" s="8"/>
      <c r="D87" s="8"/>
      <c r="E87" s="8"/>
      <c r="F87" s="8"/>
      <c r="G87" s="8"/>
      <c r="H87" s="8"/>
      <c r="I87" s="9"/>
      <c r="J87" s="9"/>
      <c r="K87" s="10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7"/>
      <c r="B88" s="8"/>
      <c r="C88" s="8"/>
      <c r="D88" s="8"/>
      <c r="E88" s="8"/>
      <c r="F88" s="8"/>
      <c r="G88" s="8"/>
      <c r="H88" s="8"/>
      <c r="I88" s="9"/>
      <c r="J88" s="9"/>
      <c r="K88" s="1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7"/>
      <c r="B89" s="8"/>
      <c r="C89" s="8"/>
      <c r="D89" s="8"/>
      <c r="E89" s="8"/>
      <c r="F89" s="8"/>
      <c r="G89" s="8"/>
      <c r="H89" s="8"/>
      <c r="I89" s="9"/>
      <c r="J89" s="9"/>
      <c r="K89" s="10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7"/>
      <c r="B90" s="8"/>
      <c r="C90" s="8"/>
      <c r="D90" s="8"/>
      <c r="E90" s="8"/>
      <c r="F90" s="8"/>
      <c r="G90" s="8"/>
      <c r="H90" s="8"/>
      <c r="I90" s="9"/>
      <c r="J90" s="9"/>
      <c r="K90" s="10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7"/>
      <c r="B91" s="8"/>
      <c r="C91" s="8"/>
      <c r="D91" s="8"/>
      <c r="E91" s="8"/>
      <c r="F91" s="8"/>
      <c r="G91" s="8"/>
      <c r="H91" s="8"/>
      <c r="I91" s="9"/>
      <c r="J91" s="9"/>
      <c r="K91" s="10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7"/>
      <c r="B92" s="8"/>
      <c r="C92" s="8"/>
      <c r="D92" s="8"/>
      <c r="E92" s="8"/>
      <c r="F92" s="8"/>
      <c r="G92" s="8"/>
      <c r="H92" s="8"/>
      <c r="I92" s="9"/>
      <c r="J92" s="9"/>
      <c r="K92" s="10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7"/>
      <c r="B93" s="8"/>
      <c r="C93" s="8"/>
      <c r="D93" s="8"/>
      <c r="E93" s="8"/>
      <c r="F93" s="8"/>
      <c r="G93" s="8"/>
      <c r="H93" s="8"/>
      <c r="I93" s="9"/>
      <c r="J93" s="9"/>
      <c r="K93" s="10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7"/>
      <c r="B94" s="8"/>
      <c r="C94" s="8"/>
      <c r="D94" s="8"/>
      <c r="E94" s="8"/>
      <c r="F94" s="8"/>
      <c r="G94" s="8"/>
      <c r="H94" s="8"/>
      <c r="I94" s="9"/>
      <c r="J94" s="9"/>
      <c r="K94" s="10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11"/>
      <c r="B95" s="12"/>
      <c r="C95" s="12"/>
      <c r="D95" s="12"/>
      <c r="E95" s="12"/>
      <c r="F95" s="12"/>
      <c r="G95" s="12"/>
      <c r="H95" s="12"/>
      <c r="I95" s="13"/>
      <c r="J95" s="13"/>
      <c r="K95" s="10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7"/>
      <c r="B96" s="8"/>
      <c r="C96" s="8"/>
      <c r="D96" s="8"/>
      <c r="E96" s="8"/>
      <c r="F96" s="8"/>
      <c r="G96" s="8"/>
      <c r="H96" s="8"/>
      <c r="I96" s="9"/>
      <c r="J96" s="9"/>
      <c r="K96" s="10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7"/>
      <c r="B97" s="8"/>
      <c r="C97" s="8"/>
      <c r="D97" s="8"/>
      <c r="E97" s="8"/>
      <c r="F97" s="8"/>
      <c r="G97" s="8"/>
      <c r="H97" s="8"/>
      <c r="I97" s="9"/>
      <c r="J97" s="9"/>
      <c r="K97" s="10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7"/>
      <c r="B98" s="8"/>
      <c r="C98" s="8"/>
      <c r="D98" s="8"/>
      <c r="E98" s="8"/>
      <c r="F98" s="8"/>
      <c r="G98" s="8"/>
      <c r="H98" s="8"/>
      <c r="I98" s="9"/>
      <c r="J98" s="9"/>
      <c r="K98" s="10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7"/>
      <c r="B99" s="8"/>
      <c r="C99" s="8"/>
      <c r="D99" s="8"/>
      <c r="E99" s="8"/>
      <c r="F99" s="8"/>
      <c r="G99" s="8"/>
      <c r="H99" s="8"/>
      <c r="I99" s="9"/>
      <c r="J99" s="9"/>
      <c r="K99" s="10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7"/>
      <c r="B100" s="8"/>
      <c r="C100" s="8"/>
      <c r="D100" s="8"/>
      <c r="E100" s="8"/>
      <c r="F100" s="8"/>
      <c r="G100" s="8"/>
      <c r="H100" s="8"/>
      <c r="I100" s="9"/>
      <c r="J100" s="9"/>
      <c r="K100" s="10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7"/>
      <c r="B101" s="8"/>
      <c r="C101" s="8"/>
      <c r="D101" s="8"/>
      <c r="E101" s="8"/>
      <c r="F101" s="8"/>
      <c r="G101" s="8"/>
      <c r="H101" s="8"/>
      <c r="I101" s="9"/>
      <c r="J101" s="9"/>
      <c r="K101" s="10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7"/>
      <c r="B102" s="8"/>
      <c r="C102" s="8"/>
      <c r="D102" s="8"/>
      <c r="E102" s="8"/>
      <c r="F102" s="8"/>
      <c r="G102" s="8"/>
      <c r="H102" s="8"/>
      <c r="I102" s="9"/>
      <c r="J102" s="9"/>
      <c r="K102" s="10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7"/>
      <c r="B103" s="8"/>
      <c r="C103" s="8"/>
      <c r="D103" s="8"/>
      <c r="E103" s="8"/>
      <c r="F103" s="8"/>
      <c r="G103" s="8"/>
      <c r="H103" s="8"/>
      <c r="I103" s="9"/>
      <c r="J103" s="9"/>
      <c r="K103" s="10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7"/>
      <c r="B104" s="8"/>
      <c r="C104" s="8"/>
      <c r="D104" s="8"/>
      <c r="E104" s="8"/>
      <c r="F104" s="8"/>
      <c r="G104" s="8"/>
      <c r="H104" s="8"/>
      <c r="I104" s="9"/>
      <c r="J104" s="9"/>
      <c r="K104" s="10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7"/>
      <c r="B105" s="8"/>
      <c r="C105" s="8"/>
      <c r="D105" s="8"/>
      <c r="E105" s="8"/>
      <c r="F105" s="8"/>
      <c r="G105" s="8"/>
      <c r="H105" s="8"/>
      <c r="I105" s="9"/>
      <c r="J105" s="9"/>
      <c r="K105" s="10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7"/>
      <c r="B106" s="8"/>
      <c r="C106" s="8"/>
      <c r="D106" s="8"/>
      <c r="E106" s="8"/>
      <c r="F106" s="8"/>
      <c r="G106" s="8"/>
      <c r="H106" s="8"/>
      <c r="I106" s="9"/>
      <c r="J106" s="9"/>
      <c r="K106" s="10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7"/>
      <c r="B107" s="8"/>
      <c r="C107" s="8"/>
      <c r="D107" s="8"/>
      <c r="E107" s="8"/>
      <c r="F107" s="8"/>
      <c r="G107" s="8"/>
      <c r="H107" s="8"/>
      <c r="I107" s="9"/>
      <c r="J107" s="9"/>
      <c r="K107" s="10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7"/>
      <c r="B108" s="8"/>
      <c r="C108" s="8"/>
      <c r="D108" s="8"/>
      <c r="E108" s="8"/>
      <c r="F108" s="8"/>
      <c r="G108" s="8"/>
      <c r="H108" s="8"/>
      <c r="I108" s="9"/>
      <c r="J108" s="9"/>
      <c r="K108" s="10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7"/>
      <c r="B109" s="8"/>
      <c r="C109" s="8"/>
      <c r="D109" s="8"/>
      <c r="E109" s="8"/>
      <c r="F109" s="8"/>
      <c r="G109" s="8"/>
      <c r="H109" s="8"/>
      <c r="I109" s="9"/>
      <c r="J109" s="9"/>
      <c r="K109" s="10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7"/>
      <c r="B110" s="8"/>
      <c r="C110" s="8"/>
      <c r="D110" s="8"/>
      <c r="E110" s="8"/>
      <c r="F110" s="8"/>
      <c r="G110" s="8"/>
      <c r="H110" s="8"/>
      <c r="I110" s="9"/>
      <c r="J110" s="9"/>
      <c r="K110" s="10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7"/>
      <c r="B111" s="8"/>
      <c r="C111" s="8"/>
      <c r="D111" s="8"/>
      <c r="E111" s="8"/>
      <c r="F111" s="8"/>
      <c r="G111" s="8"/>
      <c r="H111" s="8"/>
      <c r="I111" s="9"/>
      <c r="J111" s="9"/>
      <c r="K111" s="10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7"/>
      <c r="B112" s="8"/>
      <c r="C112" s="8"/>
      <c r="D112" s="8"/>
      <c r="E112" s="8"/>
      <c r="F112" s="8"/>
      <c r="G112" s="8"/>
      <c r="H112" s="8"/>
      <c r="I112" s="9"/>
      <c r="J112" s="9"/>
      <c r="K112" s="10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7"/>
      <c r="B113" s="8"/>
      <c r="C113" s="8"/>
      <c r="D113" s="8"/>
      <c r="E113" s="8"/>
      <c r="F113" s="8"/>
      <c r="G113" s="8"/>
      <c r="H113" s="8"/>
      <c r="I113" s="9"/>
      <c r="J113" s="9"/>
      <c r="K113" s="10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7"/>
      <c r="B114" s="8"/>
      <c r="C114" s="8"/>
      <c r="D114" s="8"/>
      <c r="E114" s="8"/>
      <c r="F114" s="8"/>
      <c r="G114" s="8"/>
      <c r="H114" s="8"/>
      <c r="I114" s="9"/>
      <c r="J114" s="9"/>
      <c r="K114" s="10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7"/>
      <c r="B115" s="8"/>
      <c r="C115" s="8"/>
      <c r="D115" s="8"/>
      <c r="E115" s="8"/>
      <c r="F115" s="8"/>
      <c r="G115" s="8"/>
      <c r="H115" s="8"/>
      <c r="I115" s="9"/>
      <c r="J115" s="9"/>
      <c r="K115" s="10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7"/>
      <c r="B116" s="8"/>
      <c r="C116" s="8"/>
      <c r="D116" s="8"/>
      <c r="E116" s="8"/>
      <c r="F116" s="8"/>
      <c r="G116" s="8"/>
      <c r="H116" s="8"/>
      <c r="I116" s="9"/>
      <c r="J116" s="9"/>
      <c r="K116" s="10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7"/>
      <c r="B117" s="8"/>
      <c r="C117" s="8"/>
      <c r="D117" s="8"/>
      <c r="E117" s="8"/>
      <c r="F117" s="8"/>
      <c r="G117" s="8"/>
      <c r="H117" s="8"/>
      <c r="I117" s="9"/>
      <c r="J117" s="9"/>
      <c r="K117" s="10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7"/>
      <c r="B118" s="8"/>
      <c r="C118" s="8"/>
      <c r="D118" s="8"/>
      <c r="E118" s="8"/>
      <c r="F118" s="8"/>
      <c r="G118" s="8"/>
      <c r="H118" s="8"/>
      <c r="I118" s="9"/>
      <c r="J118" s="9"/>
      <c r="K118" s="10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7"/>
      <c r="B119" s="8"/>
      <c r="C119" s="8"/>
      <c r="D119" s="8"/>
      <c r="E119" s="8"/>
      <c r="F119" s="8"/>
      <c r="G119" s="8"/>
      <c r="H119" s="8"/>
      <c r="I119" s="9"/>
      <c r="J119" s="9"/>
      <c r="K119" s="10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7"/>
      <c r="B120" s="8"/>
      <c r="C120" s="8"/>
      <c r="D120" s="8"/>
      <c r="E120" s="8"/>
      <c r="F120" s="8"/>
      <c r="G120" s="8"/>
      <c r="H120" s="8"/>
      <c r="I120" s="9"/>
      <c r="J120" s="9"/>
      <c r="K120" s="10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7"/>
      <c r="B121" s="8"/>
      <c r="C121" s="8"/>
      <c r="D121" s="8"/>
      <c r="E121" s="8"/>
      <c r="F121" s="8"/>
      <c r="G121" s="8"/>
      <c r="H121" s="8"/>
      <c r="I121" s="9"/>
      <c r="J121" s="9"/>
      <c r="K121" s="10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7"/>
      <c r="B122" s="8"/>
      <c r="C122" s="8"/>
      <c r="D122" s="8"/>
      <c r="E122" s="8"/>
      <c r="F122" s="8"/>
      <c r="G122" s="8"/>
      <c r="H122" s="8"/>
      <c r="I122" s="9"/>
      <c r="J122" s="9"/>
      <c r="K122" s="10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7"/>
      <c r="B123" s="8"/>
      <c r="C123" s="8"/>
      <c r="D123" s="8"/>
      <c r="E123" s="8"/>
      <c r="F123" s="8"/>
      <c r="G123" s="8"/>
      <c r="H123" s="8"/>
      <c r="I123" s="9"/>
      <c r="J123" s="9"/>
      <c r="K123" s="10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7"/>
      <c r="B124" s="8"/>
      <c r="C124" s="8"/>
      <c r="D124" s="8"/>
      <c r="E124" s="8"/>
      <c r="F124" s="8"/>
      <c r="G124" s="8"/>
      <c r="H124" s="8"/>
      <c r="I124" s="9"/>
      <c r="J124" s="9"/>
      <c r="K124" s="10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7"/>
      <c r="B125" s="8"/>
      <c r="C125" s="8"/>
      <c r="D125" s="8"/>
      <c r="E125" s="8"/>
      <c r="F125" s="8"/>
      <c r="G125" s="8"/>
      <c r="H125" s="8"/>
      <c r="I125" s="9"/>
      <c r="J125" s="9"/>
      <c r="K125" s="10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7"/>
      <c r="B126" s="8"/>
      <c r="C126" s="8"/>
      <c r="D126" s="8"/>
      <c r="E126" s="8"/>
      <c r="F126" s="8"/>
      <c r="G126" s="8"/>
      <c r="H126" s="8"/>
      <c r="I126" s="9"/>
      <c r="J126" s="9"/>
      <c r="K126" s="10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7"/>
      <c r="B127" s="8"/>
      <c r="C127" s="8"/>
      <c r="D127" s="8"/>
      <c r="E127" s="8"/>
      <c r="F127" s="8"/>
      <c r="G127" s="8"/>
      <c r="H127" s="8"/>
      <c r="I127" s="9"/>
      <c r="J127" s="9"/>
      <c r="K127" s="10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7"/>
      <c r="B128" s="8"/>
      <c r="C128" s="8"/>
      <c r="D128" s="8"/>
      <c r="E128" s="8"/>
      <c r="F128" s="8"/>
      <c r="G128" s="8"/>
      <c r="H128" s="8"/>
      <c r="I128" s="9"/>
      <c r="J128" s="9"/>
      <c r="K128" s="10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7"/>
      <c r="B129" s="8"/>
      <c r="C129" s="8"/>
      <c r="D129" s="8"/>
      <c r="E129" s="8"/>
      <c r="F129" s="8"/>
      <c r="G129" s="8"/>
      <c r="H129" s="8"/>
      <c r="I129" s="9"/>
      <c r="J129" s="9"/>
      <c r="K129" s="10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7"/>
      <c r="B130" s="8"/>
      <c r="C130" s="8"/>
      <c r="D130" s="8"/>
      <c r="E130" s="8"/>
      <c r="F130" s="8"/>
      <c r="G130" s="8"/>
      <c r="H130" s="8"/>
      <c r="I130" s="9"/>
      <c r="J130" s="9"/>
      <c r="K130" s="10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7"/>
      <c r="B131" s="8"/>
      <c r="C131" s="8"/>
      <c r="D131" s="8"/>
      <c r="E131" s="8"/>
      <c r="F131" s="8"/>
      <c r="G131" s="8"/>
      <c r="H131" s="8"/>
      <c r="I131" s="9"/>
      <c r="J131" s="9"/>
      <c r="K131" s="10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7"/>
      <c r="B132" s="8"/>
      <c r="C132" s="8"/>
      <c r="D132" s="8"/>
      <c r="E132" s="8"/>
      <c r="F132" s="8"/>
      <c r="G132" s="8"/>
      <c r="H132" s="8"/>
      <c r="I132" s="9"/>
      <c r="J132" s="9"/>
      <c r="K132" s="10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7"/>
      <c r="B133" s="8"/>
      <c r="C133" s="8"/>
      <c r="D133" s="8"/>
      <c r="E133" s="8"/>
      <c r="F133" s="8"/>
      <c r="G133" s="8"/>
      <c r="H133" s="8"/>
      <c r="I133" s="9"/>
      <c r="J133" s="9"/>
      <c r="K133" s="10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7"/>
      <c r="B134" s="8"/>
      <c r="C134" s="8"/>
      <c r="D134" s="8"/>
      <c r="E134" s="8"/>
      <c r="F134" s="8"/>
      <c r="G134" s="8"/>
      <c r="H134" s="8"/>
      <c r="I134" s="9"/>
      <c r="J134" s="9"/>
      <c r="K134" s="10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7"/>
      <c r="B135" s="8"/>
      <c r="C135" s="8"/>
      <c r="D135" s="8"/>
      <c r="E135" s="8"/>
      <c r="F135" s="8"/>
      <c r="G135" s="8"/>
      <c r="H135" s="8"/>
      <c r="I135" s="9"/>
      <c r="J135" s="9"/>
      <c r="K135" s="10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7"/>
      <c r="B136" s="8"/>
      <c r="C136" s="8"/>
      <c r="D136" s="8"/>
      <c r="E136" s="8"/>
      <c r="F136" s="8"/>
      <c r="G136" s="8"/>
      <c r="H136" s="8"/>
      <c r="I136" s="9"/>
      <c r="J136" s="9"/>
      <c r="K136" s="10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7"/>
      <c r="B137" s="8"/>
      <c r="C137" s="8"/>
      <c r="D137" s="8"/>
      <c r="E137" s="8"/>
      <c r="F137" s="8"/>
      <c r="G137" s="8"/>
      <c r="H137" s="8"/>
      <c r="I137" s="9"/>
      <c r="J137" s="9"/>
      <c r="K137" s="10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7"/>
      <c r="B138" s="8"/>
      <c r="C138" s="8"/>
      <c r="D138" s="8"/>
      <c r="E138" s="8"/>
      <c r="F138" s="8"/>
      <c r="G138" s="8"/>
      <c r="H138" s="8"/>
      <c r="I138" s="9"/>
      <c r="J138" s="9"/>
      <c r="K138" s="10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7"/>
      <c r="B139" s="8"/>
      <c r="C139" s="8"/>
      <c r="D139" s="8"/>
      <c r="E139" s="8"/>
      <c r="F139" s="8"/>
      <c r="G139" s="8"/>
      <c r="H139" s="8"/>
      <c r="I139" s="9"/>
      <c r="J139" s="9"/>
      <c r="K139" s="10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7"/>
      <c r="B140" s="8"/>
      <c r="C140" s="8"/>
      <c r="D140" s="8"/>
      <c r="E140" s="8"/>
      <c r="F140" s="8"/>
      <c r="G140" s="8"/>
      <c r="H140" s="8"/>
      <c r="I140" s="9"/>
      <c r="J140" s="9"/>
      <c r="K140" s="10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7"/>
      <c r="B141" s="8"/>
      <c r="C141" s="8"/>
      <c r="D141" s="8"/>
      <c r="E141" s="8"/>
      <c r="F141" s="8"/>
      <c r="G141" s="8"/>
      <c r="H141" s="8"/>
      <c r="I141" s="9"/>
      <c r="J141" s="9"/>
      <c r="K141" s="10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7"/>
      <c r="B142" s="8"/>
      <c r="C142" s="8"/>
      <c r="D142" s="8"/>
      <c r="E142" s="8"/>
      <c r="F142" s="8"/>
      <c r="G142" s="8"/>
      <c r="H142" s="8"/>
      <c r="I142" s="9"/>
      <c r="J142" s="9"/>
      <c r="K142" s="10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7"/>
      <c r="B143" s="8"/>
      <c r="C143" s="8"/>
      <c r="D143" s="8"/>
      <c r="E143" s="8"/>
      <c r="F143" s="8"/>
      <c r="G143" s="8"/>
      <c r="H143" s="8"/>
      <c r="I143" s="9"/>
      <c r="J143" s="9"/>
      <c r="K143" s="10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7"/>
      <c r="B144" s="8"/>
      <c r="C144" s="8"/>
      <c r="D144" s="8"/>
      <c r="E144" s="8"/>
      <c r="F144" s="8"/>
      <c r="G144" s="8"/>
      <c r="H144" s="8"/>
      <c r="I144" s="9"/>
      <c r="J144" s="9"/>
      <c r="K144" s="10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7"/>
      <c r="B145" s="8"/>
      <c r="C145" s="8"/>
      <c r="D145" s="8"/>
      <c r="E145" s="8"/>
      <c r="F145" s="8"/>
      <c r="G145" s="8"/>
      <c r="H145" s="8"/>
      <c r="I145" s="9"/>
      <c r="J145" s="9"/>
      <c r="K145" s="10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7"/>
      <c r="B146" s="8"/>
      <c r="C146" s="8"/>
      <c r="D146" s="8"/>
      <c r="E146" s="8"/>
      <c r="F146" s="8"/>
      <c r="G146" s="8"/>
      <c r="H146" s="8"/>
      <c r="I146" s="9"/>
      <c r="J146" s="9"/>
      <c r="K146" s="10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7"/>
      <c r="B147" s="8"/>
      <c r="C147" s="8"/>
      <c r="D147" s="8"/>
      <c r="E147" s="8"/>
      <c r="F147" s="8"/>
      <c r="G147" s="8"/>
      <c r="H147" s="8"/>
      <c r="I147" s="9"/>
      <c r="J147" s="9"/>
      <c r="K147" s="10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7"/>
      <c r="B148" s="8"/>
      <c r="C148" s="8"/>
      <c r="D148" s="8"/>
      <c r="E148" s="8"/>
      <c r="F148" s="8"/>
      <c r="G148" s="8"/>
      <c r="H148" s="8"/>
      <c r="I148" s="9"/>
      <c r="J148" s="9"/>
      <c r="K148" s="10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7"/>
      <c r="B149" s="8"/>
      <c r="C149" s="8"/>
      <c r="D149" s="8"/>
      <c r="E149" s="8"/>
      <c r="F149" s="8"/>
      <c r="G149" s="8"/>
      <c r="H149" s="8"/>
      <c r="I149" s="9"/>
      <c r="J149" s="9"/>
      <c r="K149" s="10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7"/>
      <c r="B150" s="8"/>
      <c r="C150" s="8"/>
      <c r="D150" s="8"/>
      <c r="E150" s="8"/>
      <c r="F150" s="8"/>
      <c r="G150" s="8"/>
      <c r="H150" s="8"/>
      <c r="I150" s="9"/>
      <c r="J150" s="9"/>
      <c r="K150" s="10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7"/>
      <c r="B151" s="8"/>
      <c r="C151" s="8"/>
      <c r="D151" s="8"/>
      <c r="E151" s="8"/>
      <c r="F151" s="8"/>
      <c r="G151" s="8"/>
      <c r="H151" s="8"/>
      <c r="I151" s="9"/>
      <c r="J151" s="9"/>
      <c r="K151" s="10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7"/>
      <c r="B152" s="8"/>
      <c r="C152" s="8"/>
      <c r="D152" s="8"/>
      <c r="E152" s="8"/>
      <c r="F152" s="8"/>
      <c r="G152" s="8"/>
      <c r="H152" s="8"/>
      <c r="I152" s="9"/>
      <c r="J152" s="9"/>
      <c r="K152" s="10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7"/>
      <c r="B153" s="8"/>
      <c r="C153" s="8"/>
      <c r="D153" s="8"/>
      <c r="E153" s="8"/>
      <c r="F153" s="8"/>
      <c r="G153" s="8"/>
      <c r="H153" s="8"/>
      <c r="I153" s="9"/>
      <c r="J153" s="9"/>
      <c r="K153" s="10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7"/>
      <c r="B154" s="8"/>
      <c r="C154" s="8"/>
      <c r="D154" s="8"/>
      <c r="E154" s="8"/>
      <c r="F154" s="8"/>
      <c r="G154" s="8"/>
      <c r="H154" s="8"/>
      <c r="I154" s="9"/>
      <c r="J154" s="9"/>
      <c r="K154" s="10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7"/>
      <c r="B155" s="8"/>
      <c r="C155" s="8"/>
      <c r="D155" s="8"/>
      <c r="E155" s="8"/>
      <c r="F155" s="8"/>
      <c r="G155" s="8"/>
      <c r="H155" s="8"/>
      <c r="I155" s="9"/>
      <c r="J155" s="9"/>
      <c r="K155" s="10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7"/>
      <c r="B156" s="8"/>
      <c r="C156" s="8"/>
      <c r="D156" s="8"/>
      <c r="E156" s="8"/>
      <c r="F156" s="8"/>
      <c r="G156" s="8"/>
      <c r="H156" s="8"/>
      <c r="I156" s="9"/>
      <c r="J156" s="9"/>
      <c r="K156" s="10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7"/>
      <c r="B157" s="8"/>
      <c r="C157" s="8"/>
      <c r="D157" s="8"/>
      <c r="E157" s="8"/>
      <c r="F157" s="8"/>
      <c r="G157" s="8"/>
      <c r="H157" s="8"/>
      <c r="I157" s="9"/>
      <c r="J157" s="9"/>
      <c r="K157" s="10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7"/>
      <c r="B158" s="8"/>
      <c r="C158" s="8"/>
      <c r="D158" s="8"/>
      <c r="E158" s="8"/>
      <c r="F158" s="8"/>
      <c r="G158" s="8"/>
      <c r="H158" s="8"/>
      <c r="I158" s="9"/>
      <c r="J158" s="9"/>
      <c r="K158" s="10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7"/>
      <c r="B159" s="8"/>
      <c r="C159" s="8"/>
      <c r="D159" s="8"/>
      <c r="E159" s="8"/>
      <c r="F159" s="8"/>
      <c r="G159" s="8"/>
      <c r="H159" s="8"/>
      <c r="I159" s="9"/>
      <c r="J159" s="9"/>
      <c r="K159" s="1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11"/>
      <c r="B160" s="12"/>
      <c r="C160" s="12"/>
      <c r="D160" s="12"/>
      <c r="E160" s="12"/>
      <c r="F160" s="12"/>
      <c r="G160" s="12"/>
      <c r="H160" s="12"/>
      <c r="I160" s="14"/>
      <c r="J160" s="14"/>
      <c r="K160" s="1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7"/>
      <c r="B161" s="8"/>
      <c r="C161" s="8"/>
      <c r="D161" s="8"/>
      <c r="E161" s="8"/>
      <c r="F161" s="8"/>
      <c r="G161" s="8"/>
      <c r="H161" s="8"/>
      <c r="I161" s="9"/>
      <c r="J161" s="9"/>
      <c r="K161" s="10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7"/>
      <c r="B162" s="8"/>
      <c r="C162" s="8"/>
      <c r="D162" s="8"/>
      <c r="E162" s="8"/>
      <c r="F162" s="8"/>
      <c r="G162" s="8"/>
      <c r="H162" s="8"/>
      <c r="I162" s="9"/>
      <c r="J162" s="9"/>
      <c r="K162" s="10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7"/>
      <c r="B163" s="8"/>
      <c r="C163" s="8"/>
      <c r="D163" s="8"/>
      <c r="E163" s="8"/>
      <c r="F163" s="8"/>
      <c r="G163" s="8"/>
      <c r="H163" s="8"/>
      <c r="I163" s="9"/>
      <c r="J163" s="9"/>
      <c r="K163" s="10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7"/>
      <c r="B164" s="8"/>
      <c r="C164" s="8"/>
      <c r="D164" s="8"/>
      <c r="E164" s="8"/>
      <c r="F164" s="8"/>
      <c r="G164" s="8"/>
      <c r="H164" s="8"/>
      <c r="I164" s="9"/>
      <c r="J164" s="9"/>
      <c r="K164" s="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7"/>
      <c r="B165" s="8"/>
      <c r="C165" s="8"/>
      <c r="D165" s="8"/>
      <c r="E165" s="8"/>
      <c r="F165" s="8"/>
      <c r="G165" s="8"/>
      <c r="H165" s="8"/>
      <c r="I165" s="9"/>
      <c r="J165" s="9"/>
      <c r="K165" s="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7"/>
      <c r="B166" s="8"/>
      <c r="C166" s="8"/>
      <c r="D166" s="8"/>
      <c r="E166" s="8"/>
      <c r="F166" s="8"/>
      <c r="G166" s="8"/>
      <c r="H166" s="8"/>
      <c r="I166" s="9"/>
      <c r="J166" s="9"/>
      <c r="K166" s="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7"/>
      <c r="B167" s="8"/>
      <c r="C167" s="8"/>
      <c r="D167" s="8"/>
      <c r="E167" s="8"/>
      <c r="F167" s="8"/>
      <c r="G167" s="8"/>
      <c r="H167" s="8"/>
      <c r="I167" s="9"/>
      <c r="J167" s="9"/>
      <c r="K167" s="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7"/>
      <c r="B168" s="8"/>
      <c r="C168" s="8"/>
      <c r="D168" s="8"/>
      <c r="E168" s="8"/>
      <c r="F168" s="8"/>
      <c r="G168" s="8"/>
      <c r="H168" s="8"/>
      <c r="I168" s="9"/>
      <c r="J168" s="9"/>
      <c r="K168" s="10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7"/>
      <c r="B169" s="8"/>
      <c r="C169" s="8"/>
      <c r="D169" s="8"/>
      <c r="E169" s="8"/>
      <c r="F169" s="8"/>
      <c r="G169" s="8"/>
      <c r="H169" s="8"/>
      <c r="I169" s="9"/>
      <c r="J169" s="9"/>
      <c r="K169" s="1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7"/>
      <c r="B170" s="8"/>
      <c r="C170" s="8"/>
      <c r="D170" s="8"/>
      <c r="E170" s="8"/>
      <c r="F170" s="8"/>
      <c r="G170" s="8"/>
      <c r="H170" s="8"/>
      <c r="I170" s="9"/>
      <c r="J170" s="9"/>
      <c r="K170" s="1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7"/>
      <c r="B171" s="8"/>
      <c r="C171" s="8"/>
      <c r="D171" s="8"/>
      <c r="E171" s="8"/>
      <c r="F171" s="8"/>
      <c r="G171" s="8"/>
      <c r="H171" s="8"/>
      <c r="I171" s="9"/>
      <c r="J171" s="9"/>
      <c r="K171" s="10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11"/>
      <c r="B172" s="12"/>
      <c r="C172" s="12"/>
      <c r="D172" s="12"/>
      <c r="E172" s="12"/>
      <c r="F172" s="12"/>
      <c r="G172" s="12"/>
      <c r="H172" s="12"/>
      <c r="I172" s="14"/>
      <c r="J172" s="14"/>
      <c r="K172" s="10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7"/>
      <c r="B173" s="8"/>
      <c r="C173" s="8"/>
      <c r="D173" s="8"/>
      <c r="E173" s="8"/>
      <c r="F173" s="8"/>
      <c r="G173" s="8"/>
      <c r="H173" s="8"/>
      <c r="I173" s="9"/>
      <c r="J173" s="9"/>
      <c r="K173" s="10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7"/>
      <c r="B174" s="8"/>
      <c r="C174" s="8"/>
      <c r="D174" s="8"/>
      <c r="E174" s="8"/>
      <c r="F174" s="8"/>
      <c r="G174" s="8"/>
      <c r="H174" s="8"/>
      <c r="I174" s="9"/>
      <c r="J174" s="9"/>
      <c r="K174" s="1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7"/>
      <c r="B175" s="8"/>
      <c r="C175" s="8"/>
      <c r="D175" s="8"/>
      <c r="E175" s="8"/>
      <c r="F175" s="8"/>
      <c r="G175" s="8"/>
      <c r="H175" s="8"/>
      <c r="I175" s="9"/>
      <c r="J175" s="9"/>
      <c r="K175" s="1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7"/>
      <c r="B176" s="8"/>
      <c r="C176" s="8"/>
      <c r="D176" s="8"/>
      <c r="E176" s="8"/>
      <c r="F176" s="8"/>
      <c r="G176" s="8"/>
      <c r="H176" s="8"/>
      <c r="I176" s="9"/>
      <c r="J176" s="9"/>
      <c r="K176" s="10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7"/>
      <c r="B177" s="8"/>
      <c r="C177" s="8"/>
      <c r="D177" s="8"/>
      <c r="E177" s="8"/>
      <c r="F177" s="8"/>
      <c r="G177" s="8"/>
      <c r="H177" s="8"/>
      <c r="I177" s="9"/>
      <c r="J177" s="9"/>
      <c r="K177" s="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7"/>
      <c r="B178" s="8"/>
      <c r="C178" s="8"/>
      <c r="D178" s="8"/>
      <c r="E178" s="8"/>
      <c r="F178" s="8"/>
      <c r="G178" s="8"/>
      <c r="H178" s="8"/>
      <c r="I178" s="9"/>
      <c r="J178" s="9"/>
      <c r="K178" s="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7.25" customHeight="1">
      <c r="A179" s="7"/>
      <c r="B179" s="8"/>
      <c r="C179" s="8"/>
      <c r="D179" s="8"/>
      <c r="E179" s="8"/>
      <c r="F179" s="8"/>
      <c r="G179" s="8"/>
      <c r="H179" s="8"/>
      <c r="I179" s="9"/>
      <c r="J179" s="9"/>
      <c r="K179" s="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7"/>
      <c r="B180" s="8"/>
      <c r="C180" s="8"/>
      <c r="D180" s="8"/>
      <c r="E180" s="8"/>
      <c r="F180" s="8"/>
      <c r="G180" s="8"/>
      <c r="H180" s="8"/>
      <c r="I180" s="9"/>
      <c r="J180" s="9"/>
      <c r="K180" s="10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7"/>
      <c r="B181" s="8"/>
      <c r="C181" s="8"/>
      <c r="D181" s="8"/>
      <c r="E181" s="8"/>
      <c r="F181" s="8"/>
      <c r="G181" s="8"/>
      <c r="H181" s="8"/>
      <c r="I181" s="9"/>
      <c r="J181" s="9"/>
      <c r="K181" s="10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11"/>
      <c r="B182" s="12"/>
      <c r="C182" s="12"/>
      <c r="D182" s="12"/>
      <c r="E182" s="12"/>
      <c r="F182" s="12"/>
      <c r="G182" s="12"/>
      <c r="H182" s="12"/>
      <c r="I182" s="14"/>
      <c r="J182" s="14"/>
      <c r="K182" s="1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7"/>
      <c r="B183" s="8"/>
      <c r="C183" s="8"/>
      <c r="D183" s="8"/>
      <c r="E183" s="8"/>
      <c r="F183" s="8"/>
      <c r="G183" s="8"/>
      <c r="H183" s="8"/>
      <c r="I183" s="9"/>
      <c r="J183" s="9"/>
      <c r="K183" s="1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7"/>
      <c r="B184" s="8"/>
      <c r="C184" s="8"/>
      <c r="D184" s="8"/>
      <c r="E184" s="8"/>
      <c r="F184" s="8"/>
      <c r="G184" s="8"/>
      <c r="H184" s="8"/>
      <c r="I184" s="9"/>
      <c r="J184" s="9"/>
      <c r="K184" s="10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7"/>
      <c r="B185" s="8"/>
      <c r="C185" s="8"/>
      <c r="D185" s="8"/>
      <c r="E185" s="8"/>
      <c r="F185" s="8"/>
      <c r="G185" s="8"/>
      <c r="H185" s="8"/>
      <c r="I185" s="9"/>
      <c r="J185" s="9"/>
      <c r="K185" s="10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0.25" customHeight="1">
      <c r="A186" s="7"/>
      <c r="B186" s="8"/>
      <c r="C186" s="8"/>
      <c r="D186" s="8"/>
      <c r="E186" s="8"/>
      <c r="F186" s="8"/>
      <c r="G186" s="8"/>
      <c r="H186" s="8"/>
      <c r="I186" s="9"/>
      <c r="J186" s="9"/>
      <c r="K186" s="10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7"/>
      <c r="B187" s="8"/>
      <c r="C187" s="8"/>
      <c r="D187" s="8"/>
      <c r="E187" s="8"/>
      <c r="F187" s="8"/>
      <c r="G187" s="8"/>
      <c r="H187" s="8"/>
      <c r="I187" s="9"/>
      <c r="J187" s="9"/>
      <c r="K187" s="10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7"/>
      <c r="B188" s="8"/>
      <c r="C188" s="8"/>
      <c r="D188" s="8"/>
      <c r="E188" s="8"/>
      <c r="F188" s="8"/>
      <c r="G188" s="8"/>
      <c r="H188" s="8"/>
      <c r="I188" s="9"/>
      <c r="J188" s="9"/>
      <c r="K188" s="10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7"/>
      <c r="B189" s="8"/>
      <c r="C189" s="8"/>
      <c r="D189" s="8"/>
      <c r="E189" s="8"/>
      <c r="F189" s="8"/>
      <c r="G189" s="8"/>
      <c r="H189" s="8"/>
      <c r="I189" s="9"/>
      <c r="J189" s="9"/>
      <c r="K189" s="10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7"/>
      <c r="B190" s="8"/>
      <c r="C190" s="8"/>
      <c r="D190" s="8"/>
      <c r="E190" s="8"/>
      <c r="F190" s="8"/>
      <c r="G190" s="8"/>
      <c r="H190" s="8"/>
      <c r="I190" s="9"/>
      <c r="J190" s="9"/>
      <c r="K190" s="1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11"/>
      <c r="B191" s="12"/>
      <c r="C191" s="12"/>
      <c r="D191" s="12"/>
      <c r="E191" s="12"/>
      <c r="F191" s="12"/>
      <c r="G191" s="12"/>
      <c r="H191" s="12"/>
      <c r="I191" s="14"/>
      <c r="J191" s="14"/>
      <c r="K191" s="1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7"/>
      <c r="B192" s="8"/>
      <c r="C192" s="8"/>
      <c r="D192" s="8"/>
      <c r="E192" s="8"/>
      <c r="F192" s="8"/>
      <c r="G192" s="8"/>
      <c r="H192" s="8"/>
      <c r="I192" s="9"/>
      <c r="J192" s="9"/>
      <c r="K192" s="10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7"/>
      <c r="B193" s="8"/>
      <c r="C193" s="8"/>
      <c r="D193" s="8"/>
      <c r="E193" s="8"/>
      <c r="F193" s="8"/>
      <c r="G193" s="8"/>
      <c r="H193" s="8"/>
      <c r="I193" s="9"/>
      <c r="J193" s="9"/>
      <c r="K193" s="10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7"/>
      <c r="B194" s="8"/>
      <c r="C194" s="8"/>
      <c r="D194" s="8"/>
      <c r="E194" s="8"/>
      <c r="F194" s="8"/>
      <c r="G194" s="8"/>
      <c r="H194" s="8"/>
      <c r="I194" s="9"/>
      <c r="J194" s="9"/>
      <c r="K194" s="10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7"/>
      <c r="B195" s="8"/>
      <c r="C195" s="8"/>
      <c r="D195" s="8"/>
      <c r="E195" s="8"/>
      <c r="F195" s="8"/>
      <c r="G195" s="8"/>
      <c r="H195" s="8"/>
      <c r="I195" s="9"/>
      <c r="J195" s="9"/>
      <c r="K195" s="10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7"/>
      <c r="B196" s="8"/>
      <c r="C196" s="8"/>
      <c r="D196" s="8"/>
      <c r="E196" s="8"/>
      <c r="F196" s="8"/>
      <c r="G196" s="8"/>
      <c r="H196" s="8"/>
      <c r="I196" s="9"/>
      <c r="J196" s="9"/>
      <c r="K196" s="10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7"/>
      <c r="B197" s="8"/>
      <c r="C197" s="8"/>
      <c r="D197" s="8"/>
      <c r="E197" s="8"/>
      <c r="F197" s="8"/>
      <c r="G197" s="8"/>
      <c r="H197" s="8"/>
      <c r="I197" s="9"/>
      <c r="J197" s="9"/>
      <c r="K197" s="10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7"/>
      <c r="B198" s="8"/>
      <c r="C198" s="8"/>
      <c r="D198" s="8"/>
      <c r="E198" s="8"/>
      <c r="F198" s="8"/>
      <c r="G198" s="8"/>
      <c r="H198" s="8"/>
      <c r="I198" s="9"/>
      <c r="J198" s="9"/>
      <c r="K198" s="1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7"/>
      <c r="B199" s="8"/>
      <c r="C199" s="8"/>
      <c r="D199" s="8"/>
      <c r="E199" s="8"/>
      <c r="F199" s="8"/>
      <c r="G199" s="8"/>
      <c r="H199" s="8"/>
      <c r="I199" s="9"/>
      <c r="J199" s="9"/>
      <c r="K199" s="1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7"/>
      <c r="B200" s="8"/>
      <c r="C200" s="8"/>
      <c r="D200" s="8"/>
      <c r="E200" s="8"/>
      <c r="F200" s="8"/>
      <c r="G200" s="8"/>
      <c r="H200" s="8"/>
      <c r="I200" s="9"/>
      <c r="J200" s="9"/>
      <c r="K200" s="1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7"/>
      <c r="B201" s="8"/>
      <c r="C201" s="8"/>
      <c r="D201" s="8"/>
      <c r="E201" s="8"/>
      <c r="F201" s="8"/>
      <c r="G201" s="8"/>
      <c r="H201" s="8"/>
      <c r="I201" s="9"/>
      <c r="J201" s="9"/>
      <c r="K201" s="1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7"/>
      <c r="B202" s="8"/>
      <c r="C202" s="8"/>
      <c r="D202" s="8"/>
      <c r="E202" s="8"/>
      <c r="F202" s="8"/>
      <c r="G202" s="8"/>
      <c r="H202" s="8"/>
      <c r="I202" s="9"/>
      <c r="J202" s="9"/>
      <c r="K202" s="1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7"/>
      <c r="B203" s="8"/>
      <c r="C203" s="8"/>
      <c r="D203" s="8"/>
      <c r="E203" s="8"/>
      <c r="F203" s="8"/>
      <c r="G203" s="8"/>
      <c r="H203" s="8"/>
      <c r="I203" s="9"/>
      <c r="J203" s="9"/>
      <c r="K203" s="1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7"/>
      <c r="B204" s="8"/>
      <c r="C204" s="8"/>
      <c r="D204" s="8"/>
      <c r="E204" s="8"/>
      <c r="F204" s="8"/>
      <c r="G204" s="8"/>
      <c r="H204" s="8"/>
      <c r="I204" s="9"/>
      <c r="J204" s="9"/>
      <c r="K204" s="1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7"/>
      <c r="B205" s="8"/>
      <c r="C205" s="8"/>
      <c r="D205" s="8"/>
      <c r="E205" s="8"/>
      <c r="F205" s="8"/>
      <c r="G205" s="8"/>
      <c r="H205" s="8"/>
      <c r="I205" s="9"/>
      <c r="J205" s="9"/>
      <c r="K205" s="10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7"/>
      <c r="B206" s="8"/>
      <c r="C206" s="8"/>
      <c r="D206" s="8"/>
      <c r="E206" s="8"/>
      <c r="F206" s="8"/>
      <c r="G206" s="8"/>
      <c r="H206" s="8"/>
      <c r="I206" s="9"/>
      <c r="J206" s="9"/>
      <c r="K206" s="10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7"/>
      <c r="B207" s="8"/>
      <c r="C207" s="8"/>
      <c r="D207" s="8"/>
      <c r="E207" s="8"/>
      <c r="F207" s="8"/>
      <c r="G207" s="8"/>
      <c r="H207" s="8"/>
      <c r="I207" s="9"/>
      <c r="J207" s="9"/>
      <c r="K207" s="10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7"/>
      <c r="B208" s="8"/>
      <c r="C208" s="8"/>
      <c r="D208" s="8"/>
      <c r="E208" s="8"/>
      <c r="F208" s="8"/>
      <c r="G208" s="8"/>
      <c r="H208" s="8"/>
      <c r="I208" s="9"/>
      <c r="J208" s="9"/>
      <c r="K208" s="1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7"/>
      <c r="B209" s="8"/>
      <c r="C209" s="8"/>
      <c r="D209" s="8"/>
      <c r="E209" s="8"/>
      <c r="F209" s="8"/>
      <c r="G209" s="8"/>
      <c r="H209" s="8"/>
      <c r="I209" s="9"/>
      <c r="J209" s="9"/>
      <c r="K209" s="10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7"/>
      <c r="B210" s="8"/>
      <c r="C210" s="8"/>
      <c r="D210" s="8"/>
      <c r="E210" s="8"/>
      <c r="F210" s="8"/>
      <c r="G210" s="8"/>
      <c r="H210" s="8"/>
      <c r="I210" s="9"/>
      <c r="J210" s="9"/>
      <c r="K210" s="10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7"/>
      <c r="B211" s="8"/>
      <c r="C211" s="8"/>
      <c r="D211" s="8"/>
      <c r="E211" s="8"/>
      <c r="F211" s="8"/>
      <c r="G211" s="8"/>
      <c r="H211" s="8"/>
      <c r="I211" s="9"/>
      <c r="J211" s="9"/>
      <c r="K211" s="10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7"/>
      <c r="B212" s="8"/>
      <c r="C212" s="8"/>
      <c r="D212" s="8"/>
      <c r="E212" s="8"/>
      <c r="F212" s="8"/>
      <c r="G212" s="8"/>
      <c r="H212" s="8"/>
      <c r="I212" s="9"/>
      <c r="J212" s="9"/>
      <c r="K212" s="10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7"/>
      <c r="B213" s="8"/>
      <c r="C213" s="8"/>
      <c r="D213" s="8"/>
      <c r="E213" s="8"/>
      <c r="F213" s="8"/>
      <c r="G213" s="8"/>
      <c r="H213" s="8"/>
      <c r="I213" s="9"/>
      <c r="J213" s="9"/>
      <c r="K213" s="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7"/>
      <c r="B214" s="8"/>
      <c r="C214" s="8"/>
      <c r="D214" s="8"/>
      <c r="E214" s="8"/>
      <c r="F214" s="8"/>
      <c r="G214" s="8"/>
      <c r="H214" s="8"/>
      <c r="I214" s="9"/>
      <c r="J214" s="9"/>
      <c r="K214" s="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7"/>
      <c r="B215" s="8"/>
      <c r="C215" s="8"/>
      <c r="D215" s="8"/>
      <c r="E215" s="8"/>
      <c r="F215" s="8"/>
      <c r="G215" s="8"/>
      <c r="H215" s="8"/>
      <c r="I215" s="9"/>
      <c r="J215" s="9"/>
      <c r="K215" s="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7"/>
      <c r="B216" s="8"/>
      <c r="C216" s="8"/>
      <c r="D216" s="8"/>
      <c r="E216" s="8"/>
      <c r="F216" s="8"/>
      <c r="G216" s="8"/>
      <c r="H216" s="8"/>
      <c r="I216" s="9"/>
      <c r="J216" s="9"/>
      <c r="K216" s="10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7"/>
      <c r="B217" s="8"/>
      <c r="C217" s="8"/>
      <c r="D217" s="8"/>
      <c r="E217" s="8"/>
      <c r="F217" s="8"/>
      <c r="G217" s="8"/>
      <c r="H217" s="8"/>
      <c r="I217" s="9"/>
      <c r="J217" s="9"/>
      <c r="K217" s="10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7"/>
      <c r="B218" s="8"/>
      <c r="C218" s="8"/>
      <c r="D218" s="8"/>
      <c r="E218" s="8"/>
      <c r="F218" s="8"/>
      <c r="G218" s="8"/>
      <c r="H218" s="8"/>
      <c r="I218" s="9"/>
      <c r="J218" s="9"/>
      <c r="K218" s="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7"/>
      <c r="B219" s="8"/>
      <c r="C219" s="8"/>
      <c r="D219" s="8"/>
      <c r="E219" s="8"/>
      <c r="F219" s="8"/>
      <c r="G219" s="8"/>
      <c r="H219" s="8"/>
      <c r="I219" s="9"/>
      <c r="J219" s="9"/>
      <c r="K219" s="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7"/>
      <c r="B220" s="8"/>
      <c r="C220" s="8"/>
      <c r="D220" s="8"/>
      <c r="E220" s="8"/>
      <c r="F220" s="8"/>
      <c r="G220" s="8"/>
      <c r="H220" s="8"/>
      <c r="I220" s="9"/>
      <c r="J220" s="9"/>
      <c r="K220" s="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7"/>
      <c r="B221" s="8"/>
      <c r="C221" s="8"/>
      <c r="D221" s="8"/>
      <c r="E221" s="8"/>
      <c r="F221" s="8"/>
      <c r="G221" s="8"/>
      <c r="H221" s="8"/>
      <c r="I221" s="9"/>
      <c r="J221" s="9"/>
      <c r="K221" s="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7"/>
      <c r="B222" s="8"/>
      <c r="C222" s="8"/>
      <c r="D222" s="8"/>
      <c r="E222" s="8"/>
      <c r="F222" s="8"/>
      <c r="G222" s="8"/>
      <c r="H222" s="8"/>
      <c r="I222" s="9"/>
      <c r="J222" s="9"/>
      <c r="K222" s="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7"/>
      <c r="B223" s="8"/>
      <c r="C223" s="8"/>
      <c r="D223" s="8"/>
      <c r="E223" s="8"/>
      <c r="F223" s="8"/>
      <c r="G223" s="8"/>
      <c r="H223" s="8"/>
      <c r="I223" s="9"/>
      <c r="J223" s="9"/>
      <c r="K223" s="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7"/>
      <c r="B224" s="8"/>
      <c r="C224" s="8"/>
      <c r="D224" s="8"/>
      <c r="E224" s="8"/>
      <c r="F224" s="8"/>
      <c r="G224" s="8"/>
      <c r="H224" s="8"/>
      <c r="I224" s="9"/>
      <c r="J224" s="9"/>
      <c r="K224" s="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7"/>
      <c r="B225" s="8"/>
      <c r="C225" s="8"/>
      <c r="D225" s="8"/>
      <c r="E225" s="8"/>
      <c r="F225" s="8"/>
      <c r="G225" s="8"/>
      <c r="H225" s="8"/>
      <c r="I225" s="9"/>
      <c r="J225" s="9"/>
      <c r="K225" s="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7"/>
      <c r="B226" s="8"/>
      <c r="C226" s="8"/>
      <c r="D226" s="8"/>
      <c r="E226" s="8"/>
      <c r="F226" s="8"/>
      <c r="G226" s="8"/>
      <c r="H226" s="8"/>
      <c r="I226" s="9"/>
      <c r="J226" s="9"/>
      <c r="K226" s="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7"/>
      <c r="B227" s="8"/>
      <c r="C227" s="8"/>
      <c r="D227" s="8"/>
      <c r="E227" s="8"/>
      <c r="F227" s="8"/>
      <c r="G227" s="8"/>
      <c r="H227" s="8"/>
      <c r="I227" s="9"/>
      <c r="J227" s="9"/>
      <c r="K227" s="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7"/>
      <c r="B228" s="8"/>
      <c r="C228" s="8"/>
      <c r="D228" s="8"/>
      <c r="E228" s="8"/>
      <c r="F228" s="8"/>
      <c r="G228" s="8"/>
      <c r="H228" s="8"/>
      <c r="I228" s="9"/>
      <c r="J228" s="9"/>
      <c r="K228" s="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7"/>
      <c r="B229" s="8"/>
      <c r="C229" s="8"/>
      <c r="D229" s="8"/>
      <c r="E229" s="8"/>
      <c r="F229" s="8"/>
      <c r="G229" s="8"/>
      <c r="H229" s="8"/>
      <c r="I229" s="9"/>
      <c r="J229" s="9"/>
      <c r="K229" s="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7"/>
      <c r="B230" s="8"/>
      <c r="C230" s="8"/>
      <c r="D230" s="8"/>
      <c r="E230" s="8"/>
      <c r="F230" s="8"/>
      <c r="G230" s="8"/>
      <c r="H230" s="8"/>
      <c r="I230" s="9"/>
      <c r="J230" s="9"/>
      <c r="K230" s="10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7"/>
      <c r="B231" s="8"/>
      <c r="C231" s="8"/>
      <c r="D231" s="8"/>
      <c r="E231" s="8"/>
      <c r="F231" s="8"/>
      <c r="G231" s="8"/>
      <c r="H231" s="8"/>
      <c r="I231" s="9"/>
      <c r="J231" s="9"/>
      <c r="K231" s="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7"/>
      <c r="B232" s="8"/>
      <c r="C232" s="8"/>
      <c r="D232" s="8"/>
      <c r="E232" s="8"/>
      <c r="F232" s="8"/>
      <c r="G232" s="8"/>
      <c r="H232" s="8"/>
      <c r="I232" s="9"/>
      <c r="J232" s="9"/>
      <c r="K232" s="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7"/>
      <c r="B233" s="8"/>
      <c r="C233" s="8"/>
      <c r="D233" s="8"/>
      <c r="E233" s="8"/>
      <c r="F233" s="8"/>
      <c r="G233" s="8"/>
      <c r="H233" s="8"/>
      <c r="I233" s="9"/>
      <c r="J233" s="9"/>
      <c r="K233" s="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7"/>
      <c r="B234" s="8"/>
      <c r="C234" s="8"/>
      <c r="D234" s="8"/>
      <c r="E234" s="8"/>
      <c r="F234" s="8"/>
      <c r="G234" s="8"/>
      <c r="H234" s="8"/>
      <c r="I234" s="9"/>
      <c r="J234" s="9"/>
      <c r="K234" s="10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7"/>
      <c r="B235" s="8"/>
      <c r="C235" s="8"/>
      <c r="D235" s="8"/>
      <c r="E235" s="8"/>
      <c r="F235" s="8"/>
      <c r="G235" s="8"/>
      <c r="H235" s="8"/>
      <c r="I235" s="9"/>
      <c r="J235" s="9"/>
      <c r="K235" s="10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7"/>
      <c r="B236" s="8"/>
      <c r="C236" s="8"/>
      <c r="D236" s="8"/>
      <c r="E236" s="8"/>
      <c r="F236" s="8"/>
      <c r="G236" s="8"/>
      <c r="H236" s="8"/>
      <c r="I236" s="9"/>
      <c r="J236" s="9"/>
      <c r="K236" s="10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7"/>
      <c r="B237" s="8"/>
      <c r="C237" s="8"/>
      <c r="D237" s="8"/>
      <c r="E237" s="8"/>
      <c r="F237" s="8"/>
      <c r="G237" s="8"/>
      <c r="H237" s="8"/>
      <c r="I237" s="9"/>
      <c r="J237" s="9"/>
      <c r="K237" s="10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7"/>
      <c r="B238" s="8"/>
      <c r="C238" s="8"/>
      <c r="D238" s="8"/>
      <c r="E238" s="8"/>
      <c r="F238" s="8"/>
      <c r="G238" s="8"/>
      <c r="H238" s="8"/>
      <c r="I238" s="9"/>
      <c r="J238" s="9"/>
      <c r="K238" s="10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7"/>
      <c r="B239" s="8"/>
      <c r="C239" s="8"/>
      <c r="D239" s="8"/>
      <c r="E239" s="8"/>
      <c r="F239" s="8"/>
      <c r="G239" s="8"/>
      <c r="H239" s="8"/>
      <c r="I239" s="9"/>
      <c r="J239" s="9"/>
      <c r="K239" s="10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7"/>
      <c r="B240" s="8"/>
      <c r="C240" s="8"/>
      <c r="D240" s="8"/>
      <c r="E240" s="8"/>
      <c r="F240" s="8"/>
      <c r="G240" s="8"/>
      <c r="H240" s="8"/>
      <c r="I240" s="9"/>
      <c r="J240" s="9"/>
      <c r="K240" s="10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7"/>
      <c r="B241" s="8"/>
      <c r="C241" s="8"/>
      <c r="D241" s="8"/>
      <c r="E241" s="8"/>
      <c r="F241" s="8"/>
      <c r="G241" s="8"/>
      <c r="H241" s="8"/>
      <c r="I241" s="9"/>
      <c r="J241" s="9"/>
      <c r="K241" s="10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7"/>
      <c r="B242" s="8"/>
      <c r="C242" s="8"/>
      <c r="D242" s="8"/>
      <c r="E242" s="8"/>
      <c r="F242" s="8"/>
      <c r="G242" s="8"/>
      <c r="H242" s="8"/>
      <c r="I242" s="9"/>
      <c r="J242" s="9"/>
      <c r="K242" s="10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7"/>
      <c r="B243" s="8"/>
      <c r="C243" s="8"/>
      <c r="D243" s="8"/>
      <c r="E243" s="8"/>
      <c r="F243" s="8"/>
      <c r="G243" s="8"/>
      <c r="H243" s="8"/>
      <c r="I243" s="9"/>
      <c r="J243" s="9"/>
      <c r="K243" s="10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7"/>
      <c r="B244" s="8"/>
      <c r="C244" s="8"/>
      <c r="D244" s="8"/>
      <c r="E244" s="8"/>
      <c r="F244" s="8"/>
      <c r="G244" s="8"/>
      <c r="H244" s="8"/>
      <c r="I244" s="9"/>
      <c r="J244" s="9"/>
      <c r="K244" s="10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7"/>
      <c r="B245" s="8"/>
      <c r="C245" s="8"/>
      <c r="D245" s="8"/>
      <c r="E245" s="8"/>
      <c r="F245" s="8"/>
      <c r="G245" s="8"/>
      <c r="H245" s="8"/>
      <c r="I245" s="9"/>
      <c r="J245" s="9"/>
      <c r="K245" s="10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7"/>
      <c r="B246" s="8"/>
      <c r="C246" s="8"/>
      <c r="D246" s="8"/>
      <c r="E246" s="8"/>
      <c r="F246" s="8"/>
      <c r="G246" s="8"/>
      <c r="H246" s="8"/>
      <c r="I246" s="9"/>
      <c r="J246" s="9"/>
      <c r="K246" s="10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7"/>
      <c r="B247" s="8"/>
      <c r="C247" s="8"/>
      <c r="D247" s="8"/>
      <c r="E247" s="8"/>
      <c r="F247" s="8"/>
      <c r="G247" s="8"/>
      <c r="H247" s="8"/>
      <c r="I247" s="9"/>
      <c r="J247" s="9"/>
      <c r="K247" s="10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7"/>
      <c r="B248" s="8"/>
      <c r="C248" s="8"/>
      <c r="D248" s="8"/>
      <c r="E248" s="8"/>
      <c r="F248" s="8"/>
      <c r="G248" s="8"/>
      <c r="H248" s="8"/>
      <c r="I248" s="9"/>
      <c r="J248" s="9"/>
      <c r="K248" s="10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7"/>
      <c r="B249" s="8"/>
      <c r="C249" s="8"/>
      <c r="D249" s="8"/>
      <c r="E249" s="8"/>
      <c r="F249" s="8"/>
      <c r="G249" s="8"/>
      <c r="H249" s="8"/>
      <c r="I249" s="9"/>
      <c r="J249" s="9"/>
      <c r="K249" s="10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7"/>
      <c r="B250" s="8"/>
      <c r="C250" s="8"/>
      <c r="D250" s="8"/>
      <c r="E250" s="8"/>
      <c r="F250" s="8"/>
      <c r="G250" s="8"/>
      <c r="H250" s="8"/>
      <c r="I250" s="9"/>
      <c r="J250" s="9"/>
      <c r="K250" s="10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7"/>
      <c r="B251" s="8"/>
      <c r="C251" s="8"/>
      <c r="D251" s="8"/>
      <c r="E251" s="8"/>
      <c r="F251" s="8"/>
      <c r="G251" s="8"/>
      <c r="H251" s="8"/>
      <c r="I251" s="9"/>
      <c r="J251" s="9"/>
      <c r="K251" s="10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7"/>
      <c r="B252" s="8"/>
      <c r="C252" s="8"/>
      <c r="D252" s="8"/>
      <c r="E252" s="8"/>
      <c r="F252" s="8"/>
      <c r="G252" s="8"/>
      <c r="H252" s="8"/>
      <c r="I252" s="9"/>
      <c r="J252" s="9"/>
      <c r="K252" s="10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7"/>
      <c r="B253" s="8"/>
      <c r="C253" s="8"/>
      <c r="D253" s="8"/>
      <c r="E253" s="8"/>
      <c r="F253" s="8"/>
      <c r="G253" s="8"/>
      <c r="H253" s="8"/>
      <c r="I253" s="9"/>
      <c r="J253" s="9"/>
      <c r="K253" s="10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7"/>
      <c r="B254" s="8"/>
      <c r="C254" s="8"/>
      <c r="D254" s="8"/>
      <c r="E254" s="8"/>
      <c r="F254" s="8"/>
      <c r="G254" s="8"/>
      <c r="H254" s="8"/>
      <c r="I254" s="9"/>
      <c r="J254" s="9"/>
      <c r="K254" s="10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7"/>
      <c r="B255" s="8"/>
      <c r="C255" s="8"/>
      <c r="D255" s="8"/>
      <c r="E255" s="8"/>
      <c r="F255" s="8"/>
      <c r="G255" s="8"/>
      <c r="H255" s="8"/>
      <c r="I255" s="9"/>
      <c r="J255" s="9"/>
      <c r="K255" s="10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7"/>
      <c r="B256" s="8"/>
      <c r="C256" s="8"/>
      <c r="D256" s="8"/>
      <c r="E256" s="8"/>
      <c r="F256" s="8"/>
      <c r="G256" s="8"/>
      <c r="H256" s="8"/>
      <c r="I256" s="9"/>
      <c r="J256" s="9"/>
      <c r="K256" s="10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7"/>
      <c r="B257" s="8"/>
      <c r="C257" s="8"/>
      <c r="D257" s="8"/>
      <c r="E257" s="8"/>
      <c r="F257" s="8"/>
      <c r="G257" s="8"/>
      <c r="H257" s="8"/>
      <c r="I257" s="9"/>
      <c r="J257" s="9"/>
      <c r="K257" s="10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7"/>
      <c r="B258" s="8"/>
      <c r="C258" s="8"/>
      <c r="D258" s="8"/>
      <c r="E258" s="8"/>
      <c r="F258" s="8"/>
      <c r="G258" s="8"/>
      <c r="H258" s="8"/>
      <c r="I258" s="9"/>
      <c r="J258" s="9"/>
      <c r="K258" s="10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7"/>
      <c r="B259" s="8"/>
      <c r="C259" s="8"/>
      <c r="D259" s="8"/>
      <c r="E259" s="8"/>
      <c r="F259" s="8"/>
      <c r="G259" s="8"/>
      <c r="H259" s="8"/>
      <c r="I259" s="9"/>
      <c r="J259" s="9"/>
      <c r="K259" s="10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7"/>
      <c r="B260" s="8"/>
      <c r="C260" s="8"/>
      <c r="D260" s="8"/>
      <c r="E260" s="8"/>
      <c r="F260" s="8"/>
      <c r="G260" s="8"/>
      <c r="H260" s="8"/>
      <c r="I260" s="9"/>
      <c r="J260" s="9"/>
      <c r="K260" s="10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7"/>
      <c r="B261" s="8"/>
      <c r="C261" s="8"/>
      <c r="D261" s="8"/>
      <c r="E261" s="8"/>
      <c r="F261" s="8"/>
      <c r="G261" s="8"/>
      <c r="H261" s="8"/>
      <c r="I261" s="9"/>
      <c r="J261" s="9"/>
      <c r="K261" s="1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7"/>
      <c r="B262" s="8"/>
      <c r="C262" s="8"/>
      <c r="D262" s="8"/>
      <c r="E262" s="8"/>
      <c r="F262" s="8"/>
      <c r="G262" s="8"/>
      <c r="H262" s="8"/>
      <c r="I262" s="9"/>
      <c r="J262" s="9"/>
      <c r="K262" s="10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7"/>
      <c r="B263" s="8"/>
      <c r="C263" s="8"/>
      <c r="D263" s="8"/>
      <c r="E263" s="8"/>
      <c r="F263" s="8"/>
      <c r="G263" s="8"/>
      <c r="H263" s="8"/>
      <c r="I263" s="9"/>
      <c r="J263" s="9"/>
      <c r="K263" s="10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7"/>
      <c r="B264" s="8"/>
      <c r="C264" s="8"/>
      <c r="D264" s="8"/>
      <c r="E264" s="8"/>
      <c r="F264" s="8"/>
      <c r="G264" s="8"/>
      <c r="H264" s="8"/>
      <c r="I264" s="9"/>
      <c r="J264" s="9"/>
      <c r="K264" s="10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7"/>
      <c r="B265" s="8"/>
      <c r="C265" s="8"/>
      <c r="D265" s="8"/>
      <c r="E265" s="8"/>
      <c r="F265" s="8"/>
      <c r="G265" s="8"/>
      <c r="H265" s="8"/>
      <c r="I265" s="9"/>
      <c r="J265" s="9"/>
      <c r="K265" s="10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7"/>
      <c r="B266" s="8"/>
      <c r="C266" s="8"/>
      <c r="D266" s="8"/>
      <c r="E266" s="8"/>
      <c r="F266" s="8"/>
      <c r="G266" s="8"/>
      <c r="H266" s="8"/>
      <c r="I266" s="9"/>
      <c r="J266" s="9"/>
      <c r="K266" s="10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7"/>
      <c r="B267" s="8"/>
      <c r="C267" s="8"/>
      <c r="D267" s="8"/>
      <c r="E267" s="8"/>
      <c r="F267" s="8"/>
      <c r="G267" s="8"/>
      <c r="H267" s="8"/>
      <c r="I267" s="9"/>
      <c r="J267" s="9"/>
      <c r="K267" s="10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7"/>
      <c r="B268" s="8"/>
      <c r="C268" s="8"/>
      <c r="D268" s="8"/>
      <c r="E268" s="8"/>
      <c r="F268" s="8"/>
      <c r="G268" s="8"/>
      <c r="H268" s="8"/>
      <c r="I268" s="9"/>
      <c r="J268" s="9"/>
      <c r="K268" s="10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7"/>
      <c r="B269" s="8"/>
      <c r="C269" s="8"/>
      <c r="D269" s="8"/>
      <c r="E269" s="8"/>
      <c r="F269" s="8"/>
      <c r="G269" s="8"/>
      <c r="H269" s="8"/>
      <c r="I269" s="9"/>
      <c r="J269" s="9"/>
      <c r="K269" s="10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7"/>
      <c r="B270" s="8"/>
      <c r="C270" s="8"/>
      <c r="D270" s="8"/>
      <c r="E270" s="8"/>
      <c r="F270" s="8"/>
      <c r="G270" s="8"/>
      <c r="H270" s="8"/>
      <c r="I270" s="9"/>
      <c r="J270" s="9"/>
      <c r="K270" s="10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7"/>
      <c r="B271" s="8"/>
      <c r="C271" s="8"/>
      <c r="D271" s="8"/>
      <c r="E271" s="8"/>
      <c r="F271" s="8"/>
      <c r="G271" s="8"/>
      <c r="H271" s="8"/>
      <c r="I271" s="9"/>
      <c r="J271" s="9"/>
      <c r="K271" s="1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7"/>
      <c r="B272" s="8"/>
      <c r="C272" s="8"/>
      <c r="D272" s="8"/>
      <c r="E272" s="8"/>
      <c r="F272" s="8"/>
      <c r="G272" s="8"/>
      <c r="H272" s="8"/>
      <c r="I272" s="9"/>
      <c r="J272" s="9"/>
      <c r="K272" s="1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7"/>
      <c r="B273" s="8"/>
      <c r="C273" s="8"/>
      <c r="D273" s="8"/>
      <c r="E273" s="8"/>
      <c r="F273" s="8"/>
      <c r="G273" s="8"/>
      <c r="H273" s="8"/>
      <c r="I273" s="9"/>
      <c r="J273" s="9"/>
      <c r="K273" s="1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7"/>
      <c r="B274" s="8"/>
      <c r="C274" s="8"/>
      <c r="D274" s="8"/>
      <c r="E274" s="8"/>
      <c r="F274" s="8"/>
      <c r="G274" s="8"/>
      <c r="H274" s="8"/>
      <c r="I274" s="9"/>
      <c r="J274" s="9"/>
      <c r="K274" s="1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7"/>
      <c r="B275" s="8"/>
      <c r="C275" s="8"/>
      <c r="D275" s="8"/>
      <c r="E275" s="8"/>
      <c r="F275" s="8"/>
      <c r="G275" s="8"/>
      <c r="H275" s="8"/>
      <c r="I275" s="9"/>
      <c r="J275" s="9"/>
      <c r="K275" s="1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7"/>
      <c r="B276" s="8"/>
      <c r="C276" s="8"/>
      <c r="D276" s="8"/>
      <c r="E276" s="8"/>
      <c r="F276" s="8"/>
      <c r="G276" s="8"/>
      <c r="H276" s="8"/>
      <c r="I276" s="9"/>
      <c r="J276" s="9"/>
      <c r="K276" s="10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7"/>
      <c r="B277" s="8"/>
      <c r="C277" s="8"/>
      <c r="D277" s="8"/>
      <c r="E277" s="8"/>
      <c r="F277" s="8"/>
      <c r="G277" s="8"/>
      <c r="H277" s="8"/>
      <c r="I277" s="9"/>
      <c r="J277" s="9"/>
      <c r="K277" s="10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7"/>
      <c r="B278" s="8"/>
      <c r="C278" s="8"/>
      <c r="D278" s="8"/>
      <c r="E278" s="8"/>
      <c r="F278" s="8"/>
      <c r="G278" s="8"/>
      <c r="H278" s="8"/>
      <c r="I278" s="9"/>
      <c r="J278" s="9"/>
      <c r="K278" s="1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7"/>
      <c r="B279" s="8"/>
      <c r="C279" s="8"/>
      <c r="D279" s="8"/>
      <c r="E279" s="8"/>
      <c r="F279" s="8"/>
      <c r="G279" s="8"/>
      <c r="H279" s="8"/>
      <c r="I279" s="9"/>
      <c r="J279" s="9"/>
      <c r="K279" s="1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7"/>
      <c r="B280" s="8"/>
      <c r="C280" s="8"/>
      <c r="D280" s="8"/>
      <c r="E280" s="8"/>
      <c r="F280" s="8"/>
      <c r="G280" s="8"/>
      <c r="H280" s="8"/>
      <c r="I280" s="9"/>
      <c r="J280" s="9"/>
      <c r="K280" s="10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7"/>
      <c r="B281" s="8"/>
      <c r="C281" s="8"/>
      <c r="D281" s="8"/>
      <c r="E281" s="8"/>
      <c r="F281" s="8"/>
      <c r="G281" s="8"/>
      <c r="H281" s="8"/>
      <c r="I281" s="9"/>
      <c r="J281" s="9"/>
      <c r="K281" s="10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7"/>
      <c r="B282" s="8"/>
      <c r="C282" s="8"/>
      <c r="D282" s="8"/>
      <c r="E282" s="8"/>
      <c r="F282" s="8"/>
      <c r="G282" s="8"/>
      <c r="H282" s="8"/>
      <c r="I282" s="9"/>
      <c r="J282" s="9"/>
      <c r="K282" s="1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7"/>
      <c r="B283" s="8"/>
      <c r="C283" s="8"/>
      <c r="D283" s="8"/>
      <c r="E283" s="8"/>
      <c r="F283" s="8"/>
      <c r="G283" s="8"/>
      <c r="H283" s="8"/>
      <c r="I283" s="9"/>
      <c r="J283" s="9"/>
      <c r="K283" s="1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7"/>
      <c r="B284" s="8"/>
      <c r="C284" s="8"/>
      <c r="D284" s="8"/>
      <c r="E284" s="8"/>
      <c r="F284" s="8"/>
      <c r="G284" s="8"/>
      <c r="H284" s="8"/>
      <c r="I284" s="9"/>
      <c r="J284" s="9"/>
      <c r="K284" s="1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7"/>
      <c r="B285" s="8"/>
      <c r="C285" s="8"/>
      <c r="D285" s="8"/>
      <c r="E285" s="8"/>
      <c r="F285" s="8"/>
      <c r="G285" s="8"/>
      <c r="H285" s="8"/>
      <c r="I285" s="9"/>
      <c r="J285" s="9"/>
      <c r="K285" s="1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7"/>
      <c r="B286" s="8"/>
      <c r="C286" s="8"/>
      <c r="D286" s="8"/>
      <c r="E286" s="8"/>
      <c r="F286" s="8"/>
      <c r="G286" s="8"/>
      <c r="H286" s="8"/>
      <c r="I286" s="9"/>
      <c r="J286" s="9"/>
      <c r="K286" s="1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7"/>
      <c r="B287" s="8"/>
      <c r="C287" s="8"/>
      <c r="D287" s="8"/>
      <c r="E287" s="8"/>
      <c r="F287" s="8"/>
      <c r="G287" s="8"/>
      <c r="H287" s="8"/>
      <c r="I287" s="9"/>
      <c r="J287" s="9"/>
      <c r="K287" s="1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7"/>
      <c r="B288" s="8"/>
      <c r="C288" s="8"/>
      <c r="D288" s="8"/>
      <c r="E288" s="8"/>
      <c r="F288" s="8"/>
      <c r="G288" s="8"/>
      <c r="H288" s="8"/>
      <c r="I288" s="9"/>
      <c r="J288" s="9"/>
      <c r="K288" s="1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7"/>
      <c r="B289" s="8"/>
      <c r="C289" s="8"/>
      <c r="D289" s="8"/>
      <c r="E289" s="8"/>
      <c r="F289" s="8"/>
      <c r="G289" s="8"/>
      <c r="H289" s="8"/>
      <c r="I289" s="9"/>
      <c r="J289" s="9"/>
      <c r="K289" s="10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7"/>
      <c r="B290" s="8"/>
      <c r="C290" s="8"/>
      <c r="D290" s="8"/>
      <c r="E290" s="8"/>
      <c r="F290" s="8"/>
      <c r="G290" s="8"/>
      <c r="H290" s="8"/>
      <c r="I290" s="9"/>
      <c r="J290" s="9"/>
      <c r="K290" s="10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7"/>
      <c r="B291" s="8"/>
      <c r="C291" s="8"/>
      <c r="D291" s="8"/>
      <c r="E291" s="8"/>
      <c r="F291" s="8"/>
      <c r="G291" s="8"/>
      <c r="H291" s="8"/>
      <c r="I291" s="9"/>
      <c r="J291" s="9"/>
      <c r="K291" s="10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7"/>
      <c r="B292" s="8"/>
      <c r="C292" s="8"/>
      <c r="D292" s="8"/>
      <c r="E292" s="8"/>
      <c r="F292" s="8"/>
      <c r="G292" s="8"/>
      <c r="H292" s="8"/>
      <c r="I292" s="9"/>
      <c r="J292" s="9"/>
      <c r="K292" s="1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7"/>
      <c r="B293" s="8"/>
      <c r="C293" s="8"/>
      <c r="D293" s="8"/>
      <c r="E293" s="8"/>
      <c r="F293" s="8"/>
      <c r="G293" s="8"/>
      <c r="H293" s="8"/>
      <c r="I293" s="9"/>
      <c r="J293" s="9"/>
      <c r="K293" s="1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7"/>
      <c r="B294" s="8"/>
      <c r="C294" s="8"/>
      <c r="D294" s="8"/>
      <c r="E294" s="8"/>
      <c r="F294" s="8"/>
      <c r="G294" s="8"/>
      <c r="H294" s="8"/>
      <c r="I294" s="9"/>
      <c r="J294" s="9"/>
      <c r="K294" s="10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7"/>
      <c r="B295" s="8"/>
      <c r="C295" s="8"/>
      <c r="D295" s="8"/>
      <c r="E295" s="8"/>
      <c r="F295" s="8"/>
      <c r="G295" s="8"/>
      <c r="H295" s="8"/>
      <c r="I295" s="9"/>
      <c r="J295" s="9"/>
      <c r="K295" s="10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7"/>
      <c r="B296" s="8"/>
      <c r="C296" s="8"/>
      <c r="D296" s="8"/>
      <c r="E296" s="8"/>
      <c r="F296" s="8"/>
      <c r="G296" s="8"/>
      <c r="H296" s="8"/>
      <c r="I296" s="9"/>
      <c r="J296" s="9"/>
      <c r="K296" s="1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7"/>
      <c r="B297" s="8"/>
      <c r="C297" s="8"/>
      <c r="D297" s="8"/>
      <c r="E297" s="8"/>
      <c r="F297" s="8"/>
      <c r="G297" s="8"/>
      <c r="H297" s="8"/>
      <c r="I297" s="9"/>
      <c r="J297" s="9"/>
      <c r="K297" s="1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7"/>
      <c r="B298" s="8"/>
      <c r="C298" s="8"/>
      <c r="D298" s="8"/>
      <c r="E298" s="8"/>
      <c r="F298" s="8"/>
      <c r="G298" s="8"/>
      <c r="H298" s="8"/>
      <c r="I298" s="9"/>
      <c r="J298" s="9"/>
      <c r="K298" s="10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7"/>
      <c r="B299" s="8"/>
      <c r="C299" s="8"/>
      <c r="D299" s="8"/>
      <c r="E299" s="8"/>
      <c r="F299" s="8"/>
      <c r="G299" s="8"/>
      <c r="H299" s="8"/>
      <c r="I299" s="9"/>
      <c r="J299" s="9"/>
      <c r="K299" s="10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7"/>
      <c r="B300" s="8"/>
      <c r="C300" s="8"/>
      <c r="D300" s="8"/>
      <c r="E300" s="8"/>
      <c r="F300" s="8"/>
      <c r="G300" s="8"/>
      <c r="H300" s="8"/>
      <c r="I300" s="9"/>
      <c r="J300" s="9"/>
      <c r="K300" s="1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7"/>
      <c r="B301" s="8"/>
      <c r="C301" s="8"/>
      <c r="D301" s="8"/>
      <c r="E301" s="8"/>
      <c r="F301" s="8"/>
      <c r="G301" s="8"/>
      <c r="H301" s="8"/>
      <c r="I301" s="9"/>
      <c r="J301" s="9"/>
      <c r="K301" s="1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7"/>
      <c r="B302" s="8"/>
      <c r="C302" s="8"/>
      <c r="D302" s="8"/>
      <c r="E302" s="8"/>
      <c r="F302" s="8"/>
      <c r="G302" s="8"/>
      <c r="H302" s="8"/>
      <c r="I302" s="9"/>
      <c r="J302" s="9"/>
      <c r="K302" s="10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7"/>
      <c r="B303" s="8"/>
      <c r="C303" s="8"/>
      <c r="D303" s="8"/>
      <c r="E303" s="8"/>
      <c r="F303" s="8"/>
      <c r="G303" s="8"/>
      <c r="H303" s="8"/>
      <c r="I303" s="9"/>
      <c r="J303" s="9"/>
      <c r="K303" s="10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7"/>
      <c r="B304" s="8"/>
      <c r="C304" s="8"/>
      <c r="D304" s="8"/>
      <c r="E304" s="8"/>
      <c r="F304" s="8"/>
      <c r="G304" s="8"/>
      <c r="H304" s="8"/>
      <c r="I304" s="9"/>
      <c r="J304" s="9"/>
      <c r="K304" s="1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7"/>
      <c r="B305" s="8"/>
      <c r="C305" s="8"/>
      <c r="D305" s="8"/>
      <c r="E305" s="8"/>
      <c r="F305" s="8"/>
      <c r="G305" s="8"/>
      <c r="H305" s="8"/>
      <c r="I305" s="9"/>
      <c r="J305" s="9"/>
      <c r="K305" s="1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7"/>
      <c r="B306" s="8"/>
      <c r="C306" s="8"/>
      <c r="D306" s="8"/>
      <c r="E306" s="8"/>
      <c r="F306" s="8"/>
      <c r="G306" s="8"/>
      <c r="H306" s="8"/>
      <c r="I306" s="9"/>
      <c r="J306" s="9"/>
      <c r="K306" s="10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7"/>
      <c r="B307" s="8"/>
      <c r="C307" s="8"/>
      <c r="D307" s="8"/>
      <c r="E307" s="8"/>
      <c r="F307" s="8"/>
      <c r="G307" s="8"/>
      <c r="H307" s="8"/>
      <c r="I307" s="9"/>
      <c r="J307" s="9"/>
      <c r="K307" s="10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7"/>
      <c r="B308" s="8"/>
      <c r="C308" s="8"/>
      <c r="D308" s="8"/>
      <c r="E308" s="8"/>
      <c r="F308" s="8"/>
      <c r="G308" s="8"/>
      <c r="H308" s="8"/>
      <c r="I308" s="9"/>
      <c r="J308" s="9"/>
      <c r="K308" s="1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7"/>
      <c r="B309" s="8"/>
      <c r="C309" s="8"/>
      <c r="D309" s="8"/>
      <c r="E309" s="8"/>
      <c r="F309" s="8"/>
      <c r="G309" s="8"/>
      <c r="H309" s="8"/>
      <c r="I309" s="9"/>
      <c r="J309" s="9"/>
      <c r="K309" s="1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7"/>
      <c r="B310" s="8"/>
      <c r="C310" s="8"/>
      <c r="D310" s="8"/>
      <c r="E310" s="8"/>
      <c r="F310" s="8"/>
      <c r="G310" s="8"/>
      <c r="H310" s="8"/>
      <c r="I310" s="9"/>
      <c r="J310" s="9"/>
      <c r="K310" s="10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7"/>
      <c r="B311" s="8"/>
      <c r="C311" s="8"/>
      <c r="D311" s="8"/>
      <c r="E311" s="8"/>
      <c r="F311" s="8"/>
      <c r="G311" s="8"/>
      <c r="H311" s="8"/>
      <c r="I311" s="9"/>
      <c r="J311" s="9"/>
      <c r="K311" s="10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7"/>
      <c r="B312" s="8"/>
      <c r="C312" s="8"/>
      <c r="D312" s="8"/>
      <c r="E312" s="8"/>
      <c r="F312" s="8"/>
      <c r="G312" s="8"/>
      <c r="H312" s="8"/>
      <c r="I312" s="9"/>
      <c r="J312" s="9"/>
      <c r="K312" s="10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7"/>
      <c r="B313" s="8"/>
      <c r="C313" s="8"/>
      <c r="D313" s="8"/>
      <c r="E313" s="8"/>
      <c r="F313" s="8"/>
      <c r="G313" s="8"/>
      <c r="H313" s="8"/>
      <c r="I313" s="9"/>
      <c r="J313" s="9"/>
      <c r="K313" s="1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7"/>
      <c r="B314" s="8"/>
      <c r="C314" s="8"/>
      <c r="D314" s="8"/>
      <c r="E314" s="8"/>
      <c r="F314" s="8"/>
      <c r="G314" s="8"/>
      <c r="H314" s="8"/>
      <c r="I314" s="9"/>
      <c r="J314" s="9"/>
      <c r="K314" s="1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7"/>
      <c r="B315" s="8"/>
      <c r="C315" s="8"/>
      <c r="D315" s="8"/>
      <c r="E315" s="8"/>
      <c r="F315" s="8"/>
      <c r="G315" s="8"/>
      <c r="H315" s="8"/>
      <c r="I315" s="9"/>
      <c r="J315" s="9"/>
      <c r="K315" s="10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7"/>
      <c r="B316" s="8"/>
      <c r="C316" s="8"/>
      <c r="D316" s="8"/>
      <c r="E316" s="8"/>
      <c r="F316" s="8"/>
      <c r="G316" s="8"/>
      <c r="H316" s="8"/>
      <c r="I316" s="9"/>
      <c r="J316" s="9"/>
      <c r="K316" s="10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7"/>
      <c r="B317" s="8"/>
      <c r="C317" s="8"/>
      <c r="D317" s="8"/>
      <c r="E317" s="8"/>
      <c r="F317" s="8"/>
      <c r="G317" s="8"/>
      <c r="H317" s="8"/>
      <c r="I317" s="9"/>
      <c r="J317" s="9"/>
      <c r="K317" s="1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7"/>
      <c r="B318" s="8"/>
      <c r="C318" s="8"/>
      <c r="D318" s="8"/>
      <c r="E318" s="8"/>
      <c r="F318" s="8"/>
      <c r="G318" s="8"/>
      <c r="H318" s="8"/>
      <c r="I318" s="9"/>
      <c r="J318" s="9"/>
      <c r="K318" s="1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7"/>
      <c r="B319" s="8"/>
      <c r="C319" s="8"/>
      <c r="D319" s="8"/>
      <c r="E319" s="8"/>
      <c r="F319" s="8"/>
      <c r="G319" s="8"/>
      <c r="H319" s="8"/>
      <c r="I319" s="9"/>
      <c r="J319" s="9"/>
      <c r="K319" s="10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11"/>
      <c r="B320" s="12"/>
      <c r="C320" s="12"/>
      <c r="D320" s="12"/>
      <c r="E320" s="12"/>
      <c r="F320" s="12"/>
      <c r="G320" s="12"/>
      <c r="H320" s="12"/>
      <c r="I320" s="14"/>
      <c r="J320" s="14"/>
      <c r="K320" s="10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7"/>
      <c r="B321" s="8"/>
      <c r="C321" s="8"/>
      <c r="D321" s="8"/>
      <c r="E321" s="8"/>
      <c r="F321" s="8"/>
      <c r="G321" s="8"/>
      <c r="H321" s="8"/>
      <c r="I321" s="9"/>
      <c r="J321" s="9"/>
      <c r="K321" s="10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7"/>
      <c r="B322" s="8"/>
      <c r="C322" s="8"/>
      <c r="D322" s="8"/>
      <c r="E322" s="8"/>
      <c r="F322" s="8"/>
      <c r="G322" s="8"/>
      <c r="H322" s="8"/>
      <c r="I322" s="9"/>
      <c r="J322" s="9"/>
      <c r="K322" s="10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7"/>
      <c r="B323" s="8"/>
      <c r="C323" s="8"/>
      <c r="D323" s="8"/>
      <c r="E323" s="8"/>
      <c r="F323" s="8"/>
      <c r="G323" s="8"/>
      <c r="H323" s="8"/>
      <c r="I323" s="9"/>
      <c r="J323" s="9"/>
      <c r="K323" s="1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7"/>
      <c r="B324" s="8"/>
      <c r="C324" s="8"/>
      <c r="D324" s="8"/>
      <c r="E324" s="8"/>
      <c r="F324" s="8"/>
      <c r="G324" s="8"/>
      <c r="H324" s="8"/>
      <c r="I324" s="9"/>
      <c r="J324" s="9"/>
      <c r="K324" s="1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7"/>
      <c r="B325" s="8"/>
      <c r="C325" s="8"/>
      <c r="D325" s="8"/>
      <c r="E325" s="8"/>
      <c r="F325" s="8"/>
      <c r="G325" s="8"/>
      <c r="H325" s="8"/>
      <c r="I325" s="9"/>
      <c r="J325" s="9"/>
      <c r="K325" s="10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7"/>
      <c r="B326" s="8"/>
      <c r="C326" s="8"/>
      <c r="D326" s="8"/>
      <c r="E326" s="8"/>
      <c r="F326" s="8"/>
      <c r="G326" s="8"/>
      <c r="H326" s="8"/>
      <c r="I326" s="9"/>
      <c r="J326" s="9"/>
      <c r="K326" s="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7"/>
      <c r="B327" s="8"/>
      <c r="C327" s="8"/>
      <c r="D327" s="8"/>
      <c r="E327" s="8"/>
      <c r="F327" s="8"/>
      <c r="G327" s="8"/>
      <c r="H327" s="8"/>
      <c r="I327" s="9"/>
      <c r="J327" s="9"/>
      <c r="K327" s="1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7"/>
      <c r="B328" s="8"/>
      <c r="C328" s="8"/>
      <c r="D328" s="8"/>
      <c r="E328" s="8"/>
      <c r="F328" s="8"/>
      <c r="G328" s="8"/>
      <c r="H328" s="8"/>
      <c r="I328" s="9"/>
      <c r="J328" s="9"/>
      <c r="K328" s="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7"/>
      <c r="B329" s="8"/>
      <c r="C329" s="8"/>
      <c r="D329" s="8"/>
      <c r="E329" s="8"/>
      <c r="F329" s="8"/>
      <c r="G329" s="8"/>
      <c r="H329" s="8"/>
      <c r="I329" s="9"/>
      <c r="J329" s="9"/>
      <c r="K329" s="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7"/>
      <c r="B330" s="8"/>
      <c r="C330" s="8"/>
      <c r="D330" s="8"/>
      <c r="E330" s="8"/>
      <c r="F330" s="8"/>
      <c r="G330" s="8"/>
      <c r="H330" s="8"/>
      <c r="I330" s="9"/>
      <c r="J330" s="9"/>
      <c r="K330" s="1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7"/>
      <c r="B331" s="8"/>
      <c r="C331" s="8"/>
      <c r="D331" s="8"/>
      <c r="E331" s="8"/>
      <c r="F331" s="8"/>
      <c r="G331" s="8"/>
      <c r="H331" s="8"/>
      <c r="I331" s="9"/>
      <c r="J331" s="9"/>
      <c r="K331" s="1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7"/>
      <c r="B332" s="8"/>
      <c r="C332" s="8"/>
      <c r="D332" s="8"/>
      <c r="E332" s="8"/>
      <c r="F332" s="8"/>
      <c r="G332" s="8"/>
      <c r="H332" s="8"/>
      <c r="I332" s="9"/>
      <c r="J332" s="9"/>
      <c r="K332" s="1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7"/>
      <c r="B333" s="8"/>
      <c r="C333" s="8"/>
      <c r="D333" s="8"/>
      <c r="E333" s="8"/>
      <c r="F333" s="8"/>
      <c r="G333" s="8"/>
      <c r="H333" s="8"/>
      <c r="I333" s="9"/>
      <c r="J333" s="9"/>
      <c r="K333" s="1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7"/>
      <c r="B334" s="8"/>
      <c r="C334" s="8"/>
      <c r="D334" s="8"/>
      <c r="E334" s="8"/>
      <c r="F334" s="8"/>
      <c r="G334" s="8"/>
      <c r="H334" s="8"/>
      <c r="I334" s="9"/>
      <c r="J334" s="9"/>
      <c r="K334" s="1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7"/>
      <c r="B335" s="8"/>
      <c r="C335" s="8"/>
      <c r="D335" s="8"/>
      <c r="E335" s="8"/>
      <c r="F335" s="8"/>
      <c r="G335" s="8"/>
      <c r="H335" s="8"/>
      <c r="I335" s="9"/>
      <c r="J335" s="9"/>
      <c r="K335" s="10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7"/>
      <c r="B336" s="8"/>
      <c r="C336" s="8"/>
      <c r="D336" s="8"/>
      <c r="E336" s="8"/>
      <c r="F336" s="8"/>
      <c r="G336" s="8"/>
      <c r="H336" s="8"/>
      <c r="I336" s="9"/>
      <c r="J336" s="9"/>
      <c r="K336" s="10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7"/>
      <c r="B337" s="8"/>
      <c r="C337" s="8"/>
      <c r="D337" s="8"/>
      <c r="E337" s="8"/>
      <c r="F337" s="8"/>
      <c r="G337" s="8"/>
      <c r="H337" s="8"/>
      <c r="I337" s="9"/>
      <c r="J337" s="9"/>
      <c r="K337" s="1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7"/>
      <c r="B338" s="8"/>
      <c r="C338" s="8"/>
      <c r="D338" s="8"/>
      <c r="E338" s="8"/>
      <c r="F338" s="8"/>
      <c r="G338" s="8"/>
      <c r="H338" s="8"/>
      <c r="I338" s="9"/>
      <c r="J338" s="9"/>
      <c r="K338" s="1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7"/>
      <c r="B339" s="8"/>
      <c r="C339" s="8"/>
      <c r="D339" s="8"/>
      <c r="E339" s="8"/>
      <c r="F339" s="8"/>
      <c r="G339" s="8"/>
      <c r="H339" s="8"/>
      <c r="I339" s="9"/>
      <c r="J339" s="9"/>
      <c r="K339" s="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7"/>
      <c r="B340" s="8"/>
      <c r="C340" s="8"/>
      <c r="D340" s="8"/>
      <c r="E340" s="8"/>
      <c r="F340" s="8"/>
      <c r="G340" s="8"/>
      <c r="H340" s="8"/>
      <c r="I340" s="9"/>
      <c r="J340" s="9"/>
      <c r="K340" s="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7"/>
      <c r="B341" s="8"/>
      <c r="C341" s="8"/>
      <c r="D341" s="8"/>
      <c r="E341" s="8"/>
      <c r="F341" s="8"/>
      <c r="G341" s="8"/>
      <c r="H341" s="8"/>
      <c r="I341" s="9"/>
      <c r="J341" s="9"/>
      <c r="K341" s="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7"/>
      <c r="B342" s="8"/>
      <c r="C342" s="8"/>
      <c r="D342" s="8"/>
      <c r="E342" s="8"/>
      <c r="F342" s="8"/>
      <c r="G342" s="8"/>
      <c r="H342" s="8"/>
      <c r="I342" s="9"/>
      <c r="J342" s="9"/>
      <c r="K342" s="1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7"/>
      <c r="B343" s="8"/>
      <c r="C343" s="8"/>
      <c r="D343" s="8"/>
      <c r="E343" s="8"/>
      <c r="F343" s="8"/>
      <c r="G343" s="8"/>
      <c r="H343" s="8"/>
      <c r="I343" s="9"/>
      <c r="J343" s="9"/>
      <c r="K343" s="10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7"/>
      <c r="B344" s="8"/>
      <c r="C344" s="8"/>
      <c r="D344" s="8"/>
      <c r="E344" s="8"/>
      <c r="F344" s="8"/>
      <c r="G344" s="8"/>
      <c r="H344" s="8"/>
      <c r="I344" s="9"/>
      <c r="J344" s="9"/>
      <c r="K344" s="10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7"/>
      <c r="B345" s="8"/>
      <c r="C345" s="8"/>
      <c r="D345" s="8"/>
      <c r="E345" s="8"/>
      <c r="F345" s="8"/>
      <c r="G345" s="8"/>
      <c r="H345" s="8"/>
      <c r="I345" s="9"/>
      <c r="J345" s="9"/>
      <c r="K345" s="1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7"/>
      <c r="B346" s="8"/>
      <c r="C346" s="8"/>
      <c r="D346" s="8"/>
      <c r="E346" s="8"/>
      <c r="F346" s="8"/>
      <c r="G346" s="8"/>
      <c r="H346" s="8"/>
      <c r="I346" s="9"/>
      <c r="J346" s="9"/>
      <c r="K346" s="1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7"/>
      <c r="B347" s="8"/>
      <c r="C347" s="8"/>
      <c r="D347" s="8"/>
      <c r="E347" s="8"/>
      <c r="F347" s="8"/>
      <c r="G347" s="8"/>
      <c r="H347" s="8"/>
      <c r="I347" s="9"/>
      <c r="J347" s="9"/>
      <c r="K347" s="10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7"/>
      <c r="B348" s="8"/>
      <c r="C348" s="8"/>
      <c r="D348" s="8"/>
      <c r="E348" s="8"/>
      <c r="F348" s="8"/>
      <c r="G348" s="8"/>
      <c r="H348" s="8"/>
      <c r="I348" s="9"/>
      <c r="J348" s="9"/>
      <c r="K348" s="10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7"/>
      <c r="B349" s="8"/>
      <c r="C349" s="8"/>
      <c r="D349" s="8"/>
      <c r="E349" s="8"/>
      <c r="F349" s="8"/>
      <c r="G349" s="8"/>
      <c r="H349" s="8"/>
      <c r="I349" s="9"/>
      <c r="J349" s="9"/>
      <c r="K349" s="1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7"/>
      <c r="B350" s="8"/>
      <c r="C350" s="8"/>
      <c r="D350" s="8"/>
      <c r="E350" s="8"/>
      <c r="F350" s="8"/>
      <c r="G350" s="8"/>
      <c r="H350" s="8"/>
      <c r="I350" s="9"/>
      <c r="J350" s="9"/>
      <c r="K350" s="1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7"/>
      <c r="B351" s="8"/>
      <c r="C351" s="8"/>
      <c r="D351" s="8"/>
      <c r="E351" s="8"/>
      <c r="F351" s="8"/>
      <c r="G351" s="8"/>
      <c r="H351" s="8"/>
      <c r="I351" s="9"/>
      <c r="J351" s="9"/>
      <c r="K351" s="10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7"/>
      <c r="B352" s="8"/>
      <c r="C352" s="8"/>
      <c r="D352" s="8"/>
      <c r="E352" s="8"/>
      <c r="F352" s="8"/>
      <c r="G352" s="8"/>
      <c r="H352" s="8"/>
      <c r="I352" s="9"/>
      <c r="J352" s="9"/>
      <c r="K352" s="10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7"/>
      <c r="B353" s="8"/>
      <c r="C353" s="8"/>
      <c r="D353" s="8"/>
      <c r="E353" s="8"/>
      <c r="F353" s="8"/>
      <c r="G353" s="8"/>
      <c r="H353" s="8"/>
      <c r="I353" s="9"/>
      <c r="J353" s="9"/>
      <c r="K353" s="10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7"/>
      <c r="B354" s="8"/>
      <c r="C354" s="8"/>
      <c r="D354" s="8"/>
      <c r="E354" s="8"/>
      <c r="F354" s="8"/>
      <c r="G354" s="8"/>
      <c r="H354" s="8"/>
      <c r="I354" s="9"/>
      <c r="J354" s="9"/>
      <c r="K354" s="10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7"/>
      <c r="B355" s="8"/>
      <c r="C355" s="8"/>
      <c r="D355" s="8"/>
      <c r="E355" s="8"/>
      <c r="F355" s="8"/>
      <c r="G355" s="8"/>
      <c r="H355" s="8"/>
      <c r="I355" s="9"/>
      <c r="J355" s="9"/>
      <c r="K355" s="10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7"/>
      <c r="B356" s="8"/>
      <c r="C356" s="8"/>
      <c r="D356" s="8"/>
      <c r="E356" s="8"/>
      <c r="F356" s="8"/>
      <c r="G356" s="8"/>
      <c r="H356" s="8"/>
      <c r="I356" s="9"/>
      <c r="J356" s="9"/>
      <c r="K356" s="1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7"/>
      <c r="B357" s="8"/>
      <c r="C357" s="8"/>
      <c r="D357" s="8"/>
      <c r="E357" s="8"/>
      <c r="F357" s="8"/>
      <c r="G357" s="8"/>
      <c r="H357" s="8"/>
      <c r="I357" s="9"/>
      <c r="J357" s="9"/>
      <c r="K357" s="1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7"/>
      <c r="B358" s="8"/>
      <c r="C358" s="8"/>
      <c r="D358" s="8"/>
      <c r="E358" s="8"/>
      <c r="F358" s="8"/>
      <c r="G358" s="8"/>
      <c r="H358" s="8"/>
      <c r="I358" s="9"/>
      <c r="J358" s="9"/>
      <c r="K358" s="10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7"/>
      <c r="B359" s="8"/>
      <c r="C359" s="8"/>
      <c r="D359" s="8"/>
      <c r="E359" s="8"/>
      <c r="F359" s="8"/>
      <c r="G359" s="8"/>
      <c r="H359" s="8"/>
      <c r="I359" s="9"/>
      <c r="J359" s="9"/>
      <c r="K359" s="10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7"/>
      <c r="B360" s="8"/>
      <c r="C360" s="8"/>
      <c r="D360" s="8"/>
      <c r="E360" s="8"/>
      <c r="F360" s="8"/>
      <c r="G360" s="8"/>
      <c r="H360" s="8"/>
      <c r="I360" s="9"/>
      <c r="J360" s="9"/>
      <c r="K360" s="1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7"/>
      <c r="B361" s="8"/>
      <c r="C361" s="8"/>
      <c r="D361" s="8"/>
      <c r="E361" s="8"/>
      <c r="F361" s="8"/>
      <c r="G361" s="8"/>
      <c r="H361" s="8"/>
      <c r="I361" s="9"/>
      <c r="J361" s="9"/>
      <c r="K361" s="1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7"/>
      <c r="B362" s="8"/>
      <c r="C362" s="8"/>
      <c r="D362" s="8"/>
      <c r="E362" s="8"/>
      <c r="F362" s="8"/>
      <c r="G362" s="8"/>
      <c r="H362" s="8"/>
      <c r="I362" s="9"/>
      <c r="J362" s="9"/>
      <c r="K362" s="10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7"/>
      <c r="B363" s="8"/>
      <c r="C363" s="8"/>
      <c r="D363" s="8"/>
      <c r="E363" s="8"/>
      <c r="F363" s="8"/>
      <c r="G363" s="8"/>
      <c r="H363" s="8"/>
      <c r="I363" s="9"/>
      <c r="J363" s="9"/>
      <c r="K363" s="10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7"/>
      <c r="B364" s="8"/>
      <c r="C364" s="8"/>
      <c r="D364" s="8"/>
      <c r="E364" s="8"/>
      <c r="F364" s="8"/>
      <c r="G364" s="8"/>
      <c r="H364" s="8"/>
      <c r="I364" s="9"/>
      <c r="J364" s="9"/>
      <c r="K364" s="10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7"/>
      <c r="B365" s="8"/>
      <c r="C365" s="8"/>
      <c r="D365" s="8"/>
      <c r="E365" s="8"/>
      <c r="F365" s="8"/>
      <c r="G365" s="8"/>
      <c r="H365" s="8"/>
      <c r="I365" s="9"/>
      <c r="J365" s="9"/>
      <c r="K365" s="10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7"/>
      <c r="B366" s="8"/>
      <c r="C366" s="8"/>
      <c r="D366" s="8"/>
      <c r="E366" s="8"/>
      <c r="F366" s="8"/>
      <c r="G366" s="8"/>
      <c r="H366" s="8"/>
      <c r="I366" s="9"/>
      <c r="J366" s="9"/>
      <c r="K366" s="1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7"/>
      <c r="B367" s="8"/>
      <c r="C367" s="8"/>
      <c r="D367" s="8"/>
      <c r="E367" s="8"/>
      <c r="F367" s="8"/>
      <c r="G367" s="8"/>
      <c r="H367" s="8"/>
      <c r="I367" s="9"/>
      <c r="J367" s="9"/>
      <c r="K367" s="1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7"/>
      <c r="B368" s="8"/>
      <c r="C368" s="8"/>
      <c r="D368" s="8"/>
      <c r="E368" s="8"/>
      <c r="F368" s="8"/>
      <c r="G368" s="8"/>
      <c r="H368" s="8"/>
      <c r="I368" s="9"/>
      <c r="J368" s="9"/>
      <c r="K368" s="1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7"/>
      <c r="B369" s="8"/>
      <c r="C369" s="8"/>
      <c r="D369" s="8"/>
      <c r="E369" s="8"/>
      <c r="F369" s="8"/>
      <c r="G369" s="8"/>
      <c r="H369" s="8"/>
      <c r="I369" s="9"/>
      <c r="J369" s="9"/>
      <c r="K369" s="1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7"/>
      <c r="B370" s="8"/>
      <c r="C370" s="8"/>
      <c r="D370" s="8"/>
      <c r="E370" s="8"/>
      <c r="F370" s="8"/>
      <c r="G370" s="8"/>
      <c r="H370" s="8"/>
      <c r="I370" s="9"/>
      <c r="J370" s="9"/>
      <c r="K370" s="1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11"/>
      <c r="B371" s="12"/>
      <c r="C371" s="12"/>
      <c r="D371" s="12"/>
      <c r="E371" s="12"/>
      <c r="F371" s="12"/>
      <c r="G371" s="12"/>
      <c r="H371" s="12"/>
      <c r="I371" s="14"/>
      <c r="J371" s="14"/>
      <c r="K371" s="10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7"/>
      <c r="B372" s="8"/>
      <c r="C372" s="8"/>
      <c r="D372" s="8"/>
      <c r="E372" s="8"/>
      <c r="F372" s="8"/>
      <c r="G372" s="8"/>
      <c r="H372" s="8"/>
      <c r="I372" s="9"/>
      <c r="J372" s="9"/>
      <c r="K372" s="10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7"/>
      <c r="B373" s="8"/>
      <c r="C373" s="8"/>
      <c r="D373" s="8"/>
      <c r="E373" s="8"/>
      <c r="F373" s="8"/>
      <c r="G373" s="8"/>
      <c r="H373" s="8"/>
      <c r="I373" s="9"/>
      <c r="J373" s="9"/>
      <c r="K373" s="10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7"/>
      <c r="B374" s="8"/>
      <c r="C374" s="8"/>
      <c r="D374" s="8"/>
      <c r="E374" s="8"/>
      <c r="F374" s="8"/>
      <c r="G374" s="8"/>
      <c r="H374" s="8"/>
      <c r="I374" s="9"/>
      <c r="J374" s="9"/>
      <c r="K374" s="10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7"/>
      <c r="B375" s="8"/>
      <c r="C375" s="8"/>
      <c r="D375" s="8"/>
      <c r="E375" s="8"/>
      <c r="F375" s="8"/>
      <c r="G375" s="8"/>
      <c r="H375" s="8"/>
      <c r="I375" s="9"/>
      <c r="J375" s="9"/>
      <c r="K375" s="10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7"/>
      <c r="B376" s="8"/>
      <c r="C376" s="8"/>
      <c r="D376" s="8"/>
      <c r="E376" s="8"/>
      <c r="F376" s="8"/>
      <c r="G376" s="8"/>
      <c r="H376" s="8"/>
      <c r="I376" s="9"/>
      <c r="J376" s="9"/>
      <c r="K376" s="10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7"/>
      <c r="B377" s="8"/>
      <c r="C377" s="8"/>
      <c r="D377" s="8"/>
      <c r="E377" s="8"/>
      <c r="F377" s="8"/>
      <c r="G377" s="8"/>
      <c r="H377" s="8"/>
      <c r="I377" s="9"/>
      <c r="J377" s="9"/>
      <c r="K377" s="10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7"/>
      <c r="B378" s="8"/>
      <c r="C378" s="8"/>
      <c r="D378" s="8"/>
      <c r="E378" s="8"/>
      <c r="F378" s="8"/>
      <c r="G378" s="8"/>
      <c r="H378" s="8"/>
      <c r="I378" s="9"/>
      <c r="J378" s="9"/>
      <c r="K378" s="10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7"/>
      <c r="B379" s="8"/>
      <c r="C379" s="8"/>
      <c r="D379" s="8"/>
      <c r="E379" s="8"/>
      <c r="F379" s="8"/>
      <c r="G379" s="8"/>
      <c r="H379" s="8"/>
      <c r="I379" s="9"/>
      <c r="J379" s="9"/>
      <c r="K379" s="10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7"/>
      <c r="B380" s="8"/>
      <c r="C380" s="8"/>
      <c r="D380" s="8"/>
      <c r="E380" s="8"/>
      <c r="F380" s="8"/>
      <c r="G380" s="8"/>
      <c r="H380" s="8"/>
      <c r="I380" s="9"/>
      <c r="J380" s="9"/>
      <c r="K380" s="10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7"/>
      <c r="B381" s="8"/>
      <c r="C381" s="8"/>
      <c r="D381" s="8"/>
      <c r="E381" s="8"/>
      <c r="F381" s="8"/>
      <c r="G381" s="8"/>
      <c r="H381" s="8"/>
      <c r="I381" s="9"/>
      <c r="J381" s="9"/>
      <c r="K381" s="10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7"/>
      <c r="B382" s="8"/>
      <c r="C382" s="8"/>
      <c r="D382" s="8"/>
      <c r="E382" s="8"/>
      <c r="F382" s="8"/>
      <c r="G382" s="8"/>
      <c r="H382" s="8"/>
      <c r="I382" s="9"/>
      <c r="J382" s="9"/>
      <c r="K382" s="10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7"/>
      <c r="B383" s="8"/>
      <c r="C383" s="8"/>
      <c r="D383" s="8"/>
      <c r="E383" s="8"/>
      <c r="F383" s="8"/>
      <c r="G383" s="8"/>
      <c r="H383" s="8"/>
      <c r="I383" s="9"/>
      <c r="J383" s="9"/>
      <c r="K383" s="10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7"/>
      <c r="B384" s="8"/>
      <c r="C384" s="8"/>
      <c r="D384" s="8"/>
      <c r="E384" s="8"/>
      <c r="F384" s="8"/>
      <c r="G384" s="8"/>
      <c r="H384" s="8"/>
      <c r="I384" s="9"/>
      <c r="J384" s="9"/>
      <c r="K384" s="10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7"/>
      <c r="B385" s="8"/>
      <c r="C385" s="8"/>
      <c r="D385" s="8"/>
      <c r="E385" s="8"/>
      <c r="F385" s="8"/>
      <c r="G385" s="8"/>
      <c r="H385" s="8"/>
      <c r="I385" s="9"/>
      <c r="J385" s="9"/>
      <c r="K385" s="10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11"/>
      <c r="B386" s="12"/>
      <c r="C386" s="12"/>
      <c r="D386" s="12"/>
      <c r="E386" s="12"/>
      <c r="F386" s="12"/>
      <c r="G386" s="12"/>
      <c r="H386" s="12"/>
      <c r="I386" s="14"/>
      <c r="J386" s="14"/>
      <c r="K386" s="10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7"/>
      <c r="B387" s="8"/>
      <c r="C387" s="8"/>
      <c r="D387" s="8"/>
      <c r="E387" s="8"/>
      <c r="F387" s="8"/>
      <c r="G387" s="8"/>
      <c r="H387" s="8"/>
      <c r="I387" s="9"/>
      <c r="J387" s="9"/>
      <c r="K387" s="10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7"/>
      <c r="B388" s="8"/>
      <c r="C388" s="8"/>
      <c r="D388" s="8"/>
      <c r="E388" s="8"/>
      <c r="F388" s="8"/>
      <c r="G388" s="8"/>
      <c r="H388" s="8"/>
      <c r="I388" s="9"/>
      <c r="J388" s="9"/>
      <c r="K388" s="10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7"/>
      <c r="B389" s="8"/>
      <c r="C389" s="8"/>
      <c r="D389" s="8"/>
      <c r="E389" s="8"/>
      <c r="F389" s="8"/>
      <c r="G389" s="8"/>
      <c r="H389" s="8"/>
      <c r="I389" s="9"/>
      <c r="J389" s="9"/>
      <c r="K389" s="10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7"/>
      <c r="B390" s="8"/>
      <c r="C390" s="8"/>
      <c r="D390" s="8"/>
      <c r="E390" s="8"/>
      <c r="F390" s="8"/>
      <c r="G390" s="8"/>
      <c r="H390" s="8"/>
      <c r="I390" s="9"/>
      <c r="J390" s="9"/>
      <c r="K390" s="10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7"/>
      <c r="B391" s="8"/>
      <c r="C391" s="8"/>
      <c r="D391" s="8"/>
      <c r="E391" s="8"/>
      <c r="F391" s="8"/>
      <c r="G391" s="8"/>
      <c r="H391" s="8"/>
      <c r="I391" s="9"/>
      <c r="J391" s="9"/>
      <c r="K391" s="10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7"/>
      <c r="B392" s="8"/>
      <c r="C392" s="8"/>
      <c r="D392" s="8"/>
      <c r="E392" s="8"/>
      <c r="F392" s="8"/>
      <c r="G392" s="8"/>
      <c r="H392" s="8"/>
      <c r="I392" s="9"/>
      <c r="J392" s="9"/>
      <c r="K392" s="10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7"/>
      <c r="B393" s="8"/>
      <c r="C393" s="8"/>
      <c r="D393" s="8"/>
      <c r="E393" s="8"/>
      <c r="F393" s="8"/>
      <c r="G393" s="8"/>
      <c r="H393" s="8"/>
      <c r="I393" s="9"/>
      <c r="J393" s="9"/>
      <c r="K393" s="10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7"/>
      <c r="B394" s="8"/>
      <c r="C394" s="8"/>
      <c r="D394" s="8"/>
      <c r="E394" s="8"/>
      <c r="F394" s="8"/>
      <c r="G394" s="8"/>
      <c r="H394" s="8"/>
      <c r="I394" s="9"/>
      <c r="J394" s="9"/>
      <c r="K394" s="10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7"/>
      <c r="B395" s="8"/>
      <c r="C395" s="8"/>
      <c r="D395" s="8"/>
      <c r="E395" s="8"/>
      <c r="F395" s="8"/>
      <c r="G395" s="8"/>
      <c r="H395" s="8"/>
      <c r="I395" s="9"/>
      <c r="J395" s="9"/>
      <c r="K395" s="10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7"/>
      <c r="B396" s="8"/>
      <c r="C396" s="8"/>
      <c r="D396" s="8"/>
      <c r="E396" s="8"/>
      <c r="F396" s="8"/>
      <c r="G396" s="8"/>
      <c r="H396" s="8"/>
      <c r="I396" s="9"/>
      <c r="J396" s="9"/>
      <c r="K396" s="10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7"/>
      <c r="B397" s="8"/>
      <c r="C397" s="8"/>
      <c r="D397" s="8"/>
      <c r="E397" s="8"/>
      <c r="F397" s="8"/>
      <c r="G397" s="8"/>
      <c r="H397" s="8"/>
      <c r="I397" s="9"/>
      <c r="J397" s="9"/>
      <c r="K397" s="10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7"/>
      <c r="B398" s="8"/>
      <c r="C398" s="8"/>
      <c r="D398" s="8"/>
      <c r="E398" s="8"/>
      <c r="F398" s="8"/>
      <c r="G398" s="8"/>
      <c r="H398" s="8"/>
      <c r="I398" s="9"/>
      <c r="J398" s="9"/>
      <c r="K398" s="1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7"/>
      <c r="B399" s="8"/>
      <c r="C399" s="8"/>
      <c r="D399" s="8"/>
      <c r="E399" s="8"/>
      <c r="F399" s="8"/>
      <c r="G399" s="8"/>
      <c r="H399" s="8"/>
      <c r="I399" s="9"/>
      <c r="J399" s="9"/>
      <c r="K399" s="1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7"/>
      <c r="B400" s="8"/>
      <c r="C400" s="8"/>
      <c r="D400" s="8"/>
      <c r="E400" s="8"/>
      <c r="F400" s="8"/>
      <c r="G400" s="8"/>
      <c r="H400" s="8"/>
      <c r="I400" s="9"/>
      <c r="J400" s="9"/>
      <c r="K400" s="1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7"/>
      <c r="B401" s="8"/>
      <c r="C401" s="8"/>
      <c r="D401" s="8"/>
      <c r="E401" s="8"/>
      <c r="F401" s="8"/>
      <c r="G401" s="8"/>
      <c r="H401" s="8"/>
      <c r="I401" s="9"/>
      <c r="J401" s="9"/>
      <c r="K401" s="1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7"/>
      <c r="B402" s="8"/>
      <c r="C402" s="8"/>
      <c r="D402" s="8"/>
      <c r="E402" s="8"/>
      <c r="F402" s="8"/>
      <c r="G402" s="8"/>
      <c r="H402" s="8"/>
      <c r="I402" s="9"/>
      <c r="J402" s="9"/>
      <c r="K402" s="10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7"/>
      <c r="B403" s="8"/>
      <c r="C403" s="8"/>
      <c r="D403" s="8"/>
      <c r="E403" s="8"/>
      <c r="F403" s="8"/>
      <c r="G403" s="8"/>
      <c r="H403" s="8"/>
      <c r="I403" s="9"/>
      <c r="J403" s="9"/>
      <c r="K403" s="10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7"/>
      <c r="B404" s="8"/>
      <c r="C404" s="8"/>
      <c r="D404" s="8"/>
      <c r="E404" s="8"/>
      <c r="F404" s="8"/>
      <c r="G404" s="8"/>
      <c r="H404" s="8"/>
      <c r="I404" s="9"/>
      <c r="J404" s="9"/>
      <c r="K404" s="10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7"/>
      <c r="B405" s="8"/>
      <c r="C405" s="8"/>
      <c r="D405" s="8"/>
      <c r="E405" s="8"/>
      <c r="F405" s="8"/>
      <c r="G405" s="8"/>
      <c r="H405" s="8"/>
      <c r="I405" s="9"/>
      <c r="J405" s="9"/>
      <c r="K405" s="10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7"/>
      <c r="B406" s="8"/>
      <c r="C406" s="8"/>
      <c r="D406" s="8"/>
      <c r="E406" s="8"/>
      <c r="F406" s="8"/>
      <c r="G406" s="8"/>
      <c r="H406" s="8"/>
      <c r="I406" s="9"/>
      <c r="J406" s="9"/>
      <c r="K406" s="10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7"/>
      <c r="B407" s="8"/>
      <c r="C407" s="8"/>
      <c r="D407" s="8"/>
      <c r="E407" s="8"/>
      <c r="F407" s="8"/>
      <c r="G407" s="8"/>
      <c r="H407" s="8"/>
      <c r="I407" s="9"/>
      <c r="J407" s="9"/>
      <c r="K407" s="10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7"/>
      <c r="B408" s="8"/>
      <c r="C408" s="8"/>
      <c r="D408" s="8"/>
      <c r="E408" s="8"/>
      <c r="F408" s="8"/>
      <c r="G408" s="8"/>
      <c r="H408" s="8"/>
      <c r="I408" s="9"/>
      <c r="J408" s="9"/>
      <c r="K408" s="10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7"/>
      <c r="B409" s="8"/>
      <c r="C409" s="8"/>
      <c r="D409" s="8"/>
      <c r="E409" s="8"/>
      <c r="F409" s="8"/>
      <c r="G409" s="8"/>
      <c r="H409" s="8"/>
      <c r="I409" s="9"/>
      <c r="J409" s="9"/>
      <c r="K409" s="10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7"/>
      <c r="B410" s="8"/>
      <c r="C410" s="8"/>
      <c r="D410" s="8"/>
      <c r="E410" s="8"/>
      <c r="F410" s="8"/>
      <c r="G410" s="8"/>
      <c r="H410" s="8"/>
      <c r="I410" s="9"/>
      <c r="J410" s="9"/>
      <c r="K410" s="10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7"/>
      <c r="B411" s="8"/>
      <c r="C411" s="8"/>
      <c r="D411" s="8"/>
      <c r="E411" s="8"/>
      <c r="F411" s="8"/>
      <c r="G411" s="8"/>
      <c r="H411" s="8"/>
      <c r="I411" s="9"/>
      <c r="J411" s="9"/>
      <c r="K411" s="1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7"/>
      <c r="B412" s="8"/>
      <c r="C412" s="8"/>
      <c r="D412" s="8"/>
      <c r="E412" s="8"/>
      <c r="F412" s="8"/>
      <c r="G412" s="8"/>
      <c r="H412" s="8"/>
      <c r="I412" s="9"/>
      <c r="J412" s="9"/>
      <c r="K412" s="1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7"/>
      <c r="B413" s="8"/>
      <c r="C413" s="8"/>
      <c r="D413" s="8"/>
      <c r="E413" s="8"/>
      <c r="F413" s="8"/>
      <c r="G413" s="8"/>
      <c r="H413" s="8"/>
      <c r="I413" s="9"/>
      <c r="J413" s="9"/>
      <c r="K413" s="1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7"/>
      <c r="B414" s="8"/>
      <c r="C414" s="8"/>
      <c r="D414" s="8"/>
      <c r="E414" s="8"/>
      <c r="F414" s="8"/>
      <c r="G414" s="8"/>
      <c r="H414" s="8"/>
      <c r="I414" s="9"/>
      <c r="J414" s="9"/>
      <c r="K414" s="10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7"/>
      <c r="B415" s="8"/>
      <c r="C415" s="8"/>
      <c r="D415" s="8"/>
      <c r="E415" s="8"/>
      <c r="F415" s="8"/>
      <c r="G415" s="8"/>
      <c r="H415" s="8"/>
      <c r="I415" s="9"/>
      <c r="J415" s="9"/>
      <c r="K415" s="10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7"/>
      <c r="B416" s="8"/>
      <c r="C416" s="8"/>
      <c r="D416" s="8"/>
      <c r="E416" s="8"/>
      <c r="F416" s="8"/>
      <c r="G416" s="8"/>
      <c r="H416" s="8"/>
      <c r="I416" s="9"/>
      <c r="J416" s="9"/>
      <c r="K416" s="10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7"/>
      <c r="B417" s="8"/>
      <c r="C417" s="8"/>
      <c r="D417" s="8"/>
      <c r="E417" s="8"/>
      <c r="F417" s="8"/>
      <c r="G417" s="8"/>
      <c r="H417" s="8"/>
      <c r="I417" s="9"/>
      <c r="J417" s="9"/>
      <c r="K417" s="10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7"/>
      <c r="B418" s="8"/>
      <c r="C418" s="8"/>
      <c r="D418" s="8"/>
      <c r="E418" s="8"/>
      <c r="F418" s="8"/>
      <c r="G418" s="8"/>
      <c r="H418" s="8"/>
      <c r="I418" s="9"/>
      <c r="J418" s="9"/>
      <c r="K418" s="10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7"/>
      <c r="B419" s="8"/>
      <c r="C419" s="8"/>
      <c r="D419" s="8"/>
      <c r="E419" s="8"/>
      <c r="F419" s="8"/>
      <c r="G419" s="8"/>
      <c r="H419" s="8"/>
      <c r="I419" s="9"/>
      <c r="J419" s="9"/>
      <c r="K419" s="10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7"/>
      <c r="B420" s="8"/>
      <c r="C420" s="8"/>
      <c r="D420" s="8"/>
      <c r="E420" s="8"/>
      <c r="F420" s="8"/>
      <c r="G420" s="8"/>
      <c r="H420" s="8"/>
      <c r="I420" s="9"/>
      <c r="J420" s="9"/>
      <c r="K420" s="10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7"/>
      <c r="B421" s="8"/>
      <c r="C421" s="8"/>
      <c r="D421" s="8"/>
      <c r="E421" s="8"/>
      <c r="F421" s="8"/>
      <c r="G421" s="8"/>
      <c r="H421" s="8"/>
      <c r="I421" s="9"/>
      <c r="J421" s="9"/>
      <c r="K421" s="10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7"/>
      <c r="B422" s="8"/>
      <c r="C422" s="8"/>
      <c r="D422" s="8"/>
      <c r="E422" s="8"/>
      <c r="F422" s="8"/>
      <c r="G422" s="8"/>
      <c r="H422" s="8"/>
      <c r="I422" s="9"/>
      <c r="J422" s="9"/>
      <c r="K422" s="10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7"/>
      <c r="B423" s="8"/>
      <c r="C423" s="8"/>
      <c r="D423" s="8"/>
      <c r="E423" s="8"/>
      <c r="F423" s="8"/>
      <c r="G423" s="8"/>
      <c r="H423" s="8"/>
      <c r="I423" s="9"/>
      <c r="J423" s="9"/>
      <c r="K423" s="10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7"/>
      <c r="B424" s="8"/>
      <c r="C424" s="8"/>
      <c r="D424" s="8"/>
      <c r="E424" s="8"/>
      <c r="F424" s="8"/>
      <c r="G424" s="8"/>
      <c r="H424" s="8"/>
      <c r="I424" s="9"/>
      <c r="J424" s="9"/>
      <c r="K424" s="10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7"/>
      <c r="B425" s="8"/>
      <c r="C425" s="8"/>
      <c r="D425" s="8"/>
      <c r="E425" s="8"/>
      <c r="F425" s="8"/>
      <c r="G425" s="8"/>
      <c r="H425" s="8"/>
      <c r="I425" s="9"/>
      <c r="J425" s="9"/>
      <c r="K425" s="10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7"/>
      <c r="B426" s="8"/>
      <c r="C426" s="8"/>
      <c r="D426" s="8"/>
      <c r="E426" s="8"/>
      <c r="F426" s="8"/>
      <c r="G426" s="8"/>
      <c r="H426" s="8"/>
      <c r="I426" s="9"/>
      <c r="J426" s="9"/>
      <c r="K426" s="10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7"/>
      <c r="B427" s="8"/>
      <c r="C427" s="8"/>
      <c r="D427" s="8"/>
      <c r="E427" s="8"/>
      <c r="F427" s="8"/>
      <c r="G427" s="8"/>
      <c r="H427" s="8"/>
      <c r="I427" s="9"/>
      <c r="J427" s="9"/>
      <c r="K427" s="10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7"/>
      <c r="B428" s="8"/>
      <c r="C428" s="8"/>
      <c r="D428" s="8"/>
      <c r="E428" s="8"/>
      <c r="F428" s="8"/>
      <c r="G428" s="8"/>
      <c r="H428" s="8"/>
      <c r="I428" s="9"/>
      <c r="J428" s="9"/>
      <c r="K428" s="10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7"/>
      <c r="B429" s="8"/>
      <c r="C429" s="8"/>
      <c r="D429" s="8"/>
      <c r="E429" s="8"/>
      <c r="F429" s="8"/>
      <c r="G429" s="8"/>
      <c r="H429" s="8"/>
      <c r="I429" s="9"/>
      <c r="J429" s="9"/>
      <c r="K429" s="10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7"/>
      <c r="B430" s="8"/>
      <c r="C430" s="8"/>
      <c r="D430" s="8"/>
      <c r="E430" s="8"/>
      <c r="F430" s="8"/>
      <c r="G430" s="8"/>
      <c r="H430" s="8"/>
      <c r="I430" s="9"/>
      <c r="J430" s="9"/>
      <c r="K430" s="10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7"/>
      <c r="B431" s="8"/>
      <c r="C431" s="8"/>
      <c r="D431" s="8"/>
      <c r="E431" s="8"/>
      <c r="F431" s="8"/>
      <c r="G431" s="8"/>
      <c r="H431" s="8"/>
      <c r="I431" s="9"/>
      <c r="J431" s="9"/>
      <c r="K431" s="10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7"/>
      <c r="B432" s="8"/>
      <c r="C432" s="8"/>
      <c r="D432" s="8"/>
      <c r="E432" s="8"/>
      <c r="F432" s="8"/>
      <c r="G432" s="8"/>
      <c r="H432" s="8"/>
      <c r="I432" s="9"/>
      <c r="J432" s="9"/>
      <c r="K432" s="10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7"/>
      <c r="B433" s="8"/>
      <c r="C433" s="8"/>
      <c r="D433" s="8"/>
      <c r="E433" s="8"/>
      <c r="F433" s="8"/>
      <c r="G433" s="8"/>
      <c r="H433" s="8"/>
      <c r="I433" s="9"/>
      <c r="J433" s="9"/>
      <c r="K433" s="10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7"/>
      <c r="B434" s="8"/>
      <c r="C434" s="8"/>
      <c r="D434" s="8"/>
      <c r="E434" s="8"/>
      <c r="F434" s="8"/>
      <c r="G434" s="8"/>
      <c r="H434" s="8"/>
      <c r="I434" s="9"/>
      <c r="J434" s="9"/>
      <c r="K434" s="10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7"/>
      <c r="B435" s="8"/>
      <c r="C435" s="8"/>
      <c r="D435" s="8"/>
      <c r="E435" s="8"/>
      <c r="F435" s="8"/>
      <c r="G435" s="8"/>
      <c r="H435" s="8"/>
      <c r="I435" s="9"/>
      <c r="J435" s="9"/>
      <c r="K435" s="10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7"/>
      <c r="B436" s="8"/>
      <c r="C436" s="8"/>
      <c r="D436" s="8"/>
      <c r="E436" s="8"/>
      <c r="F436" s="8"/>
      <c r="G436" s="8"/>
      <c r="H436" s="8"/>
      <c r="I436" s="9"/>
      <c r="J436" s="9"/>
      <c r="K436" s="10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7"/>
      <c r="B437" s="8"/>
      <c r="C437" s="8"/>
      <c r="D437" s="8"/>
      <c r="E437" s="8"/>
      <c r="F437" s="8"/>
      <c r="G437" s="8"/>
      <c r="H437" s="8"/>
      <c r="I437" s="9"/>
      <c r="J437" s="9"/>
      <c r="K437" s="10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7"/>
      <c r="B438" s="8"/>
      <c r="C438" s="8"/>
      <c r="D438" s="8"/>
      <c r="E438" s="8"/>
      <c r="F438" s="8"/>
      <c r="G438" s="8"/>
      <c r="H438" s="8"/>
      <c r="I438" s="9"/>
      <c r="J438" s="9"/>
      <c r="K438" s="10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7"/>
      <c r="B439" s="8"/>
      <c r="C439" s="8"/>
      <c r="D439" s="8"/>
      <c r="E439" s="8"/>
      <c r="F439" s="8"/>
      <c r="G439" s="8"/>
      <c r="H439" s="8"/>
      <c r="I439" s="9"/>
      <c r="J439" s="9"/>
      <c r="K439" s="10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7"/>
      <c r="B440" s="8"/>
      <c r="C440" s="8"/>
      <c r="D440" s="8"/>
      <c r="E440" s="8"/>
      <c r="F440" s="8"/>
      <c r="G440" s="8"/>
      <c r="H440" s="8"/>
      <c r="I440" s="9"/>
      <c r="J440" s="9"/>
      <c r="K440" s="10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7"/>
      <c r="B441" s="8"/>
      <c r="C441" s="8"/>
      <c r="D441" s="8"/>
      <c r="E441" s="8"/>
      <c r="F441" s="8"/>
      <c r="G441" s="8"/>
      <c r="H441" s="8"/>
      <c r="I441" s="9"/>
      <c r="J441" s="9"/>
      <c r="K441" s="10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7"/>
      <c r="B442" s="8"/>
      <c r="C442" s="8"/>
      <c r="D442" s="8"/>
      <c r="E442" s="8"/>
      <c r="F442" s="8"/>
      <c r="G442" s="8"/>
      <c r="H442" s="8"/>
      <c r="I442" s="9"/>
      <c r="J442" s="9"/>
      <c r="K442" s="10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7"/>
      <c r="B443" s="8"/>
      <c r="C443" s="8"/>
      <c r="D443" s="8"/>
      <c r="E443" s="8"/>
      <c r="F443" s="8"/>
      <c r="G443" s="8"/>
      <c r="H443" s="8"/>
      <c r="I443" s="9"/>
      <c r="J443" s="9"/>
      <c r="K443" s="10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7"/>
      <c r="B444" s="8"/>
      <c r="C444" s="8"/>
      <c r="D444" s="8"/>
      <c r="E444" s="8"/>
      <c r="F444" s="8"/>
      <c r="G444" s="8"/>
      <c r="H444" s="8"/>
      <c r="I444" s="9"/>
      <c r="J444" s="9"/>
      <c r="K444" s="1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7"/>
      <c r="B445" s="8"/>
      <c r="C445" s="8"/>
      <c r="D445" s="8"/>
      <c r="E445" s="8"/>
      <c r="F445" s="8"/>
      <c r="G445" s="8"/>
      <c r="H445" s="8"/>
      <c r="I445" s="9"/>
      <c r="J445" s="9"/>
      <c r="K445" s="1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7"/>
      <c r="B446" s="8"/>
      <c r="C446" s="8"/>
      <c r="D446" s="8"/>
      <c r="E446" s="8"/>
      <c r="F446" s="8"/>
      <c r="G446" s="8"/>
      <c r="H446" s="8"/>
      <c r="I446" s="9"/>
      <c r="J446" s="9"/>
      <c r="K446" s="10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7"/>
      <c r="B447" s="8"/>
      <c r="C447" s="8"/>
      <c r="D447" s="8"/>
      <c r="E447" s="8"/>
      <c r="F447" s="8"/>
      <c r="G447" s="8"/>
      <c r="H447" s="8"/>
      <c r="I447" s="9"/>
      <c r="J447" s="9"/>
      <c r="K447" s="10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7"/>
      <c r="B448" s="8"/>
      <c r="C448" s="8"/>
      <c r="D448" s="8"/>
      <c r="E448" s="8"/>
      <c r="F448" s="8"/>
      <c r="G448" s="8"/>
      <c r="H448" s="8"/>
      <c r="I448" s="9"/>
      <c r="J448" s="9"/>
      <c r="K448" s="10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7"/>
      <c r="B449" s="8"/>
      <c r="C449" s="8"/>
      <c r="D449" s="8"/>
      <c r="E449" s="8"/>
      <c r="F449" s="8"/>
      <c r="G449" s="8"/>
      <c r="H449" s="8"/>
      <c r="I449" s="9"/>
      <c r="J449" s="9"/>
      <c r="K449" s="10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7"/>
      <c r="B450" s="8"/>
      <c r="C450" s="8"/>
      <c r="D450" s="8"/>
      <c r="E450" s="8"/>
      <c r="F450" s="8"/>
      <c r="G450" s="8"/>
      <c r="H450" s="8"/>
      <c r="I450" s="9"/>
      <c r="J450" s="9"/>
      <c r="K450" s="10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7"/>
      <c r="B451" s="8"/>
      <c r="C451" s="8"/>
      <c r="D451" s="8"/>
      <c r="E451" s="8"/>
      <c r="F451" s="8"/>
      <c r="G451" s="8"/>
      <c r="H451" s="8"/>
      <c r="I451" s="9"/>
      <c r="J451" s="9"/>
      <c r="K451" s="10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7"/>
      <c r="B452" s="8"/>
      <c r="C452" s="8"/>
      <c r="D452" s="8"/>
      <c r="E452" s="8"/>
      <c r="F452" s="8"/>
      <c r="G452" s="8"/>
      <c r="H452" s="8"/>
      <c r="I452" s="9"/>
      <c r="J452" s="9"/>
      <c r="K452" s="1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7"/>
      <c r="B453" s="8"/>
      <c r="C453" s="8"/>
      <c r="D453" s="8"/>
      <c r="E453" s="8"/>
      <c r="F453" s="8"/>
      <c r="G453" s="8"/>
      <c r="H453" s="8"/>
      <c r="I453" s="9"/>
      <c r="J453" s="9"/>
      <c r="K453" s="1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7"/>
      <c r="B454" s="8"/>
      <c r="C454" s="8"/>
      <c r="D454" s="8"/>
      <c r="E454" s="8"/>
      <c r="F454" s="8"/>
      <c r="G454" s="8"/>
      <c r="H454" s="8"/>
      <c r="I454" s="9"/>
      <c r="J454" s="9"/>
      <c r="K454" s="1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7"/>
      <c r="B455" s="8"/>
      <c r="C455" s="8"/>
      <c r="D455" s="8"/>
      <c r="E455" s="8"/>
      <c r="F455" s="8"/>
      <c r="G455" s="8"/>
      <c r="H455" s="8"/>
      <c r="I455" s="9"/>
      <c r="J455" s="9"/>
      <c r="K455" s="1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7"/>
      <c r="B456" s="8"/>
      <c r="C456" s="8"/>
      <c r="D456" s="8"/>
      <c r="E456" s="8"/>
      <c r="F456" s="8"/>
      <c r="G456" s="8"/>
      <c r="H456" s="8"/>
      <c r="I456" s="9"/>
      <c r="J456" s="9"/>
      <c r="K456" s="10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7"/>
      <c r="B457" s="8"/>
      <c r="C457" s="8"/>
      <c r="D457" s="8"/>
      <c r="E457" s="8"/>
      <c r="F457" s="8"/>
      <c r="G457" s="8"/>
      <c r="H457" s="8"/>
      <c r="I457" s="9"/>
      <c r="J457" s="9"/>
      <c r="K457" s="10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7"/>
      <c r="B458" s="8"/>
      <c r="C458" s="8"/>
      <c r="D458" s="8"/>
      <c r="E458" s="8"/>
      <c r="F458" s="8"/>
      <c r="G458" s="8"/>
      <c r="H458" s="8"/>
      <c r="I458" s="9"/>
      <c r="J458" s="9"/>
      <c r="K458" s="10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7"/>
      <c r="B459" s="8"/>
      <c r="C459" s="8"/>
      <c r="D459" s="8"/>
      <c r="E459" s="8"/>
      <c r="F459" s="8"/>
      <c r="G459" s="8"/>
      <c r="H459" s="8"/>
      <c r="I459" s="9"/>
      <c r="J459" s="9"/>
      <c r="K459" s="10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7"/>
      <c r="B460" s="8"/>
      <c r="C460" s="8"/>
      <c r="D460" s="8"/>
      <c r="E460" s="8"/>
      <c r="F460" s="8"/>
      <c r="G460" s="8"/>
      <c r="H460" s="8"/>
      <c r="I460" s="9"/>
      <c r="J460" s="9"/>
      <c r="K460" s="10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7"/>
      <c r="B461" s="8"/>
      <c r="C461" s="8"/>
      <c r="D461" s="8"/>
      <c r="E461" s="8"/>
      <c r="F461" s="8"/>
      <c r="G461" s="8"/>
      <c r="H461" s="8"/>
      <c r="I461" s="9"/>
      <c r="J461" s="9"/>
      <c r="K461" s="10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7"/>
      <c r="B462" s="8"/>
      <c r="C462" s="8"/>
      <c r="D462" s="8"/>
      <c r="E462" s="8"/>
      <c r="F462" s="8"/>
      <c r="G462" s="8"/>
      <c r="H462" s="8"/>
      <c r="I462" s="9"/>
      <c r="J462" s="9"/>
      <c r="K462" s="10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7"/>
      <c r="B463" s="8"/>
      <c r="C463" s="8"/>
      <c r="D463" s="8"/>
      <c r="E463" s="8"/>
      <c r="F463" s="8"/>
      <c r="G463" s="8"/>
      <c r="H463" s="8"/>
      <c r="I463" s="9"/>
      <c r="J463" s="9"/>
      <c r="K463" s="10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7"/>
      <c r="B464" s="8"/>
      <c r="C464" s="8"/>
      <c r="D464" s="8"/>
      <c r="E464" s="8"/>
      <c r="F464" s="8"/>
      <c r="G464" s="8"/>
      <c r="H464" s="8"/>
      <c r="I464" s="9"/>
      <c r="J464" s="9"/>
      <c r="K464" s="1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7"/>
      <c r="B465" s="8"/>
      <c r="C465" s="8"/>
      <c r="D465" s="8"/>
      <c r="E465" s="8"/>
      <c r="F465" s="8"/>
      <c r="G465" s="8"/>
      <c r="H465" s="8"/>
      <c r="I465" s="9"/>
      <c r="J465" s="9"/>
      <c r="K465" s="1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7"/>
      <c r="B466" s="8"/>
      <c r="C466" s="8"/>
      <c r="D466" s="8"/>
      <c r="E466" s="8"/>
      <c r="F466" s="8"/>
      <c r="G466" s="8"/>
      <c r="H466" s="8"/>
      <c r="I466" s="9"/>
      <c r="J466" s="9"/>
      <c r="K466" s="1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7"/>
      <c r="B467" s="8"/>
      <c r="C467" s="8"/>
      <c r="D467" s="8"/>
      <c r="E467" s="8"/>
      <c r="F467" s="8"/>
      <c r="G467" s="8"/>
      <c r="H467" s="8"/>
      <c r="I467" s="9"/>
      <c r="J467" s="9"/>
      <c r="K467" s="1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7"/>
      <c r="B468" s="8"/>
      <c r="C468" s="8"/>
      <c r="D468" s="8"/>
      <c r="E468" s="8"/>
      <c r="F468" s="8"/>
      <c r="G468" s="8"/>
      <c r="H468" s="8"/>
      <c r="I468" s="9"/>
      <c r="J468" s="9"/>
      <c r="K468" s="10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7"/>
      <c r="B469" s="8"/>
      <c r="C469" s="8"/>
      <c r="D469" s="8"/>
      <c r="E469" s="8"/>
      <c r="F469" s="8"/>
      <c r="G469" s="8"/>
      <c r="H469" s="8"/>
      <c r="I469" s="9"/>
      <c r="J469" s="9"/>
      <c r="K469" s="10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7"/>
      <c r="B470" s="8"/>
      <c r="C470" s="8"/>
      <c r="D470" s="8"/>
      <c r="E470" s="8"/>
      <c r="F470" s="8"/>
      <c r="G470" s="8"/>
      <c r="H470" s="8"/>
      <c r="I470" s="9"/>
      <c r="J470" s="9"/>
      <c r="K470" s="10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7"/>
      <c r="B471" s="8"/>
      <c r="C471" s="8"/>
      <c r="D471" s="8"/>
      <c r="E471" s="8"/>
      <c r="F471" s="8"/>
      <c r="G471" s="8"/>
      <c r="H471" s="8"/>
      <c r="I471" s="9"/>
      <c r="J471" s="9"/>
      <c r="K471" s="10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7"/>
      <c r="B472" s="8"/>
      <c r="C472" s="8"/>
      <c r="D472" s="8"/>
      <c r="E472" s="8"/>
      <c r="F472" s="8"/>
      <c r="G472" s="8"/>
      <c r="H472" s="8"/>
      <c r="I472" s="9"/>
      <c r="J472" s="9"/>
      <c r="K472" s="10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7"/>
      <c r="B473" s="8"/>
      <c r="C473" s="8"/>
      <c r="D473" s="8"/>
      <c r="E473" s="8"/>
      <c r="F473" s="8"/>
      <c r="G473" s="8"/>
      <c r="H473" s="8"/>
      <c r="I473" s="9"/>
      <c r="J473" s="9"/>
      <c r="K473" s="10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7"/>
      <c r="B474" s="8"/>
      <c r="C474" s="8"/>
      <c r="D474" s="8"/>
      <c r="E474" s="8"/>
      <c r="F474" s="8"/>
      <c r="G474" s="8"/>
      <c r="H474" s="8"/>
      <c r="I474" s="9"/>
      <c r="J474" s="9"/>
      <c r="K474" s="10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7"/>
      <c r="B475" s="8"/>
      <c r="C475" s="8"/>
      <c r="D475" s="8"/>
      <c r="E475" s="8"/>
      <c r="F475" s="8"/>
      <c r="G475" s="8"/>
      <c r="H475" s="8"/>
      <c r="I475" s="9"/>
      <c r="J475" s="9"/>
      <c r="K475" s="10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7"/>
      <c r="B476" s="8"/>
      <c r="C476" s="8"/>
      <c r="D476" s="8"/>
      <c r="E476" s="8"/>
      <c r="F476" s="8"/>
      <c r="G476" s="8"/>
      <c r="H476" s="8"/>
      <c r="I476" s="9"/>
      <c r="J476" s="9"/>
      <c r="K476" s="10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7"/>
      <c r="B477" s="8"/>
      <c r="C477" s="8"/>
      <c r="D477" s="8"/>
      <c r="E477" s="8"/>
      <c r="F477" s="8"/>
      <c r="G477" s="8"/>
      <c r="H477" s="8"/>
      <c r="I477" s="9"/>
      <c r="J477" s="9"/>
      <c r="K477" s="10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7"/>
      <c r="B478" s="8"/>
      <c r="C478" s="8"/>
      <c r="D478" s="8"/>
      <c r="E478" s="8"/>
      <c r="F478" s="8"/>
      <c r="G478" s="8"/>
      <c r="H478" s="8"/>
      <c r="I478" s="9"/>
      <c r="J478" s="9"/>
      <c r="K478" s="10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7"/>
      <c r="B479" s="8"/>
      <c r="C479" s="8"/>
      <c r="D479" s="8"/>
      <c r="E479" s="8"/>
      <c r="F479" s="8"/>
      <c r="G479" s="8"/>
      <c r="H479" s="8"/>
      <c r="I479" s="9"/>
      <c r="J479" s="9"/>
      <c r="K479" s="10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7"/>
      <c r="B480" s="8"/>
      <c r="C480" s="8"/>
      <c r="D480" s="8"/>
      <c r="E480" s="8"/>
      <c r="F480" s="8"/>
      <c r="G480" s="8"/>
      <c r="H480" s="8"/>
      <c r="I480" s="9"/>
      <c r="J480" s="9"/>
      <c r="K480" s="10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7"/>
      <c r="B481" s="8"/>
      <c r="C481" s="8"/>
      <c r="D481" s="8"/>
      <c r="E481" s="8"/>
      <c r="F481" s="8"/>
      <c r="G481" s="8"/>
      <c r="H481" s="8"/>
      <c r="I481" s="9"/>
      <c r="J481" s="9"/>
      <c r="K481" s="10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7"/>
      <c r="B482" s="8"/>
      <c r="C482" s="8"/>
      <c r="D482" s="8"/>
      <c r="E482" s="8"/>
      <c r="F482" s="8"/>
      <c r="G482" s="8"/>
      <c r="H482" s="8"/>
      <c r="I482" s="9"/>
      <c r="J482" s="9"/>
      <c r="K482" s="10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7"/>
      <c r="B483" s="8"/>
      <c r="C483" s="8"/>
      <c r="D483" s="8"/>
      <c r="E483" s="8"/>
      <c r="F483" s="8"/>
      <c r="G483" s="8"/>
      <c r="H483" s="8"/>
      <c r="I483" s="9"/>
      <c r="J483" s="9"/>
      <c r="K483" s="10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7"/>
      <c r="B484" s="8"/>
      <c r="C484" s="8"/>
      <c r="D484" s="8"/>
      <c r="E484" s="8"/>
      <c r="F484" s="8"/>
      <c r="G484" s="8"/>
      <c r="H484" s="8"/>
      <c r="I484" s="9"/>
      <c r="J484" s="9"/>
      <c r="K484" s="10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7"/>
      <c r="B485" s="8"/>
      <c r="C485" s="8"/>
      <c r="D485" s="8"/>
      <c r="E485" s="8"/>
      <c r="F485" s="8"/>
      <c r="G485" s="8"/>
      <c r="H485" s="8"/>
      <c r="I485" s="9"/>
      <c r="J485" s="9"/>
      <c r="K485" s="10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7"/>
      <c r="B486" s="8"/>
      <c r="C486" s="8"/>
      <c r="D486" s="8"/>
      <c r="E486" s="8"/>
      <c r="F486" s="8"/>
      <c r="G486" s="8"/>
      <c r="H486" s="8"/>
      <c r="I486" s="9"/>
      <c r="J486" s="9"/>
      <c r="K486" s="10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7"/>
      <c r="B487" s="8"/>
      <c r="C487" s="8"/>
      <c r="D487" s="8"/>
      <c r="E487" s="8"/>
      <c r="F487" s="8"/>
      <c r="G487" s="8"/>
      <c r="H487" s="8"/>
      <c r="I487" s="9"/>
      <c r="J487" s="9"/>
      <c r="K487" s="10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7"/>
      <c r="B488" s="8"/>
      <c r="C488" s="8"/>
      <c r="D488" s="8"/>
      <c r="E488" s="8"/>
      <c r="F488" s="8"/>
      <c r="G488" s="8"/>
      <c r="H488" s="8"/>
      <c r="I488" s="9"/>
      <c r="J488" s="9"/>
      <c r="K488" s="10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7"/>
      <c r="B489" s="8"/>
      <c r="C489" s="8"/>
      <c r="D489" s="8"/>
      <c r="E489" s="8"/>
      <c r="F489" s="8"/>
      <c r="G489" s="8"/>
      <c r="H489" s="8"/>
      <c r="I489" s="9"/>
      <c r="J489" s="9"/>
      <c r="K489" s="10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7"/>
      <c r="B490" s="8"/>
      <c r="C490" s="8"/>
      <c r="D490" s="8"/>
      <c r="E490" s="8"/>
      <c r="F490" s="8"/>
      <c r="G490" s="8"/>
      <c r="H490" s="8"/>
      <c r="I490" s="9"/>
      <c r="J490" s="9"/>
      <c r="K490" s="10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7"/>
      <c r="B491" s="8"/>
      <c r="C491" s="8"/>
      <c r="D491" s="8"/>
      <c r="E491" s="8"/>
      <c r="F491" s="8"/>
      <c r="G491" s="8"/>
      <c r="H491" s="8"/>
      <c r="I491" s="9"/>
      <c r="J491" s="9"/>
      <c r="K491" s="10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7"/>
      <c r="B492" s="8"/>
      <c r="C492" s="8"/>
      <c r="D492" s="8"/>
      <c r="E492" s="8"/>
      <c r="F492" s="8"/>
      <c r="G492" s="8"/>
      <c r="H492" s="8"/>
      <c r="I492" s="9"/>
      <c r="J492" s="9"/>
      <c r="K492" s="10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7"/>
      <c r="B493" s="8"/>
      <c r="C493" s="8"/>
      <c r="D493" s="8"/>
      <c r="E493" s="8"/>
      <c r="F493" s="8"/>
      <c r="G493" s="8"/>
      <c r="H493" s="8"/>
      <c r="I493" s="9"/>
      <c r="J493" s="9"/>
      <c r="K493" s="10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7"/>
      <c r="B494" s="8"/>
      <c r="C494" s="8"/>
      <c r="D494" s="8"/>
      <c r="E494" s="8"/>
      <c r="F494" s="8"/>
      <c r="G494" s="8"/>
      <c r="H494" s="8"/>
      <c r="I494" s="9"/>
      <c r="J494" s="9"/>
      <c r="K494" s="10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7"/>
      <c r="B495" s="8"/>
      <c r="C495" s="8"/>
      <c r="D495" s="8"/>
      <c r="E495" s="8"/>
      <c r="F495" s="8"/>
      <c r="G495" s="8"/>
      <c r="H495" s="8"/>
      <c r="I495" s="9"/>
      <c r="J495" s="9"/>
      <c r="K495" s="10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7"/>
      <c r="B496" s="8"/>
      <c r="C496" s="8"/>
      <c r="D496" s="8"/>
      <c r="E496" s="8"/>
      <c r="F496" s="8"/>
      <c r="G496" s="8"/>
      <c r="H496" s="8"/>
      <c r="I496" s="9"/>
      <c r="J496" s="9"/>
      <c r="K496" s="10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7"/>
      <c r="B497" s="8"/>
      <c r="C497" s="8"/>
      <c r="D497" s="8"/>
      <c r="E497" s="8"/>
      <c r="F497" s="8"/>
      <c r="G497" s="8"/>
      <c r="H497" s="8"/>
      <c r="I497" s="9"/>
      <c r="J497" s="9"/>
      <c r="K497" s="10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7"/>
      <c r="B498" s="8"/>
      <c r="C498" s="8"/>
      <c r="D498" s="8"/>
      <c r="E498" s="8"/>
      <c r="F498" s="8"/>
      <c r="G498" s="8"/>
      <c r="H498" s="8"/>
      <c r="I498" s="9"/>
      <c r="J498" s="9"/>
      <c r="K498" s="10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7"/>
      <c r="B499" s="8"/>
      <c r="C499" s="8"/>
      <c r="D499" s="8"/>
      <c r="E499" s="8"/>
      <c r="F499" s="8"/>
      <c r="G499" s="8"/>
      <c r="H499" s="8"/>
      <c r="I499" s="9"/>
      <c r="J499" s="9"/>
      <c r="K499" s="10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7"/>
      <c r="B500" s="8"/>
      <c r="C500" s="8"/>
      <c r="D500" s="8"/>
      <c r="E500" s="8"/>
      <c r="F500" s="8"/>
      <c r="G500" s="8"/>
      <c r="H500" s="8"/>
      <c r="I500" s="9"/>
      <c r="J500" s="9"/>
      <c r="K500" s="10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7"/>
      <c r="B501" s="8"/>
      <c r="C501" s="8"/>
      <c r="D501" s="8"/>
      <c r="E501" s="8"/>
      <c r="F501" s="8"/>
      <c r="G501" s="8"/>
      <c r="H501" s="8"/>
      <c r="I501" s="9"/>
      <c r="J501" s="9"/>
      <c r="K501" s="10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7"/>
      <c r="B502" s="8"/>
      <c r="C502" s="8"/>
      <c r="D502" s="8"/>
      <c r="E502" s="8"/>
      <c r="F502" s="8"/>
      <c r="G502" s="8"/>
      <c r="H502" s="8"/>
      <c r="I502" s="9"/>
      <c r="J502" s="9"/>
      <c r="K502" s="10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7"/>
      <c r="B503" s="8"/>
      <c r="C503" s="8"/>
      <c r="D503" s="8"/>
      <c r="E503" s="8"/>
      <c r="F503" s="8"/>
      <c r="G503" s="8"/>
      <c r="H503" s="8"/>
      <c r="I503" s="9"/>
      <c r="J503" s="9"/>
      <c r="K503" s="10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7"/>
      <c r="B504" s="8"/>
      <c r="C504" s="8"/>
      <c r="D504" s="8"/>
      <c r="E504" s="8"/>
      <c r="F504" s="8"/>
      <c r="G504" s="8"/>
      <c r="H504" s="8"/>
      <c r="I504" s="9"/>
      <c r="J504" s="9"/>
      <c r="K504" s="10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7"/>
      <c r="B505" s="8"/>
      <c r="C505" s="8"/>
      <c r="D505" s="8"/>
      <c r="E505" s="8"/>
      <c r="F505" s="8"/>
      <c r="G505" s="8"/>
      <c r="H505" s="8"/>
      <c r="I505" s="9"/>
      <c r="J505" s="9"/>
      <c r="K505" s="10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7"/>
      <c r="B506" s="8"/>
      <c r="C506" s="8"/>
      <c r="D506" s="8"/>
      <c r="E506" s="8"/>
      <c r="F506" s="8"/>
      <c r="G506" s="8"/>
      <c r="H506" s="8"/>
      <c r="I506" s="9"/>
      <c r="J506" s="9"/>
      <c r="K506" s="10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7"/>
      <c r="B507" s="8"/>
      <c r="C507" s="8"/>
      <c r="D507" s="8"/>
      <c r="E507" s="8"/>
      <c r="F507" s="8"/>
      <c r="G507" s="8"/>
      <c r="H507" s="8"/>
      <c r="I507" s="9"/>
      <c r="J507" s="9"/>
      <c r="K507" s="10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7"/>
      <c r="B508" s="8"/>
      <c r="C508" s="8"/>
      <c r="D508" s="8"/>
      <c r="E508" s="8"/>
      <c r="F508" s="8"/>
      <c r="G508" s="8"/>
      <c r="H508" s="8"/>
      <c r="I508" s="9"/>
      <c r="J508" s="9"/>
      <c r="K508" s="10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7"/>
      <c r="B509" s="8"/>
      <c r="C509" s="8"/>
      <c r="D509" s="8"/>
      <c r="E509" s="8"/>
      <c r="F509" s="8"/>
      <c r="G509" s="8"/>
      <c r="H509" s="8"/>
      <c r="I509" s="9"/>
      <c r="J509" s="9"/>
      <c r="K509" s="10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7"/>
      <c r="B510" s="8"/>
      <c r="C510" s="8"/>
      <c r="D510" s="8"/>
      <c r="E510" s="8"/>
      <c r="F510" s="8"/>
      <c r="G510" s="8"/>
      <c r="H510" s="8"/>
      <c r="I510" s="9"/>
      <c r="J510" s="9"/>
      <c r="K510" s="10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7"/>
      <c r="B511" s="8"/>
      <c r="C511" s="8"/>
      <c r="D511" s="8"/>
      <c r="E511" s="8"/>
      <c r="F511" s="8"/>
      <c r="G511" s="8"/>
      <c r="H511" s="8"/>
      <c r="I511" s="9"/>
      <c r="J511" s="9"/>
      <c r="K511" s="10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7"/>
      <c r="B512" s="8"/>
      <c r="C512" s="8"/>
      <c r="D512" s="8"/>
      <c r="E512" s="8"/>
      <c r="F512" s="8"/>
      <c r="G512" s="8"/>
      <c r="H512" s="8"/>
      <c r="I512" s="9"/>
      <c r="J512" s="9"/>
      <c r="K512" s="10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7"/>
      <c r="B513" s="8"/>
      <c r="C513" s="8"/>
      <c r="D513" s="8"/>
      <c r="E513" s="8"/>
      <c r="F513" s="8"/>
      <c r="G513" s="8"/>
      <c r="H513" s="8"/>
      <c r="I513" s="9"/>
      <c r="J513" s="9"/>
      <c r="K513" s="10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7"/>
      <c r="B514" s="8"/>
      <c r="C514" s="8"/>
      <c r="D514" s="8"/>
      <c r="E514" s="8"/>
      <c r="F514" s="8"/>
      <c r="G514" s="8"/>
      <c r="H514" s="8"/>
      <c r="I514" s="9"/>
      <c r="J514" s="9"/>
      <c r="K514" s="10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7"/>
      <c r="B515" s="8"/>
      <c r="C515" s="8"/>
      <c r="D515" s="8"/>
      <c r="E515" s="8"/>
      <c r="F515" s="8"/>
      <c r="G515" s="8"/>
      <c r="H515" s="8"/>
      <c r="I515" s="9"/>
      <c r="J515" s="9"/>
      <c r="K515" s="10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7"/>
      <c r="B516" s="8"/>
      <c r="C516" s="8"/>
      <c r="D516" s="8"/>
      <c r="E516" s="8"/>
      <c r="F516" s="8"/>
      <c r="G516" s="8"/>
      <c r="H516" s="8"/>
      <c r="I516" s="9"/>
      <c r="J516" s="9"/>
      <c r="K516" s="10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7"/>
      <c r="B517" s="8"/>
      <c r="C517" s="8"/>
      <c r="D517" s="8"/>
      <c r="E517" s="8"/>
      <c r="F517" s="8"/>
      <c r="G517" s="8"/>
      <c r="H517" s="8"/>
      <c r="I517" s="9"/>
      <c r="J517" s="9"/>
      <c r="K517" s="10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7"/>
      <c r="B518" s="8"/>
      <c r="C518" s="8"/>
      <c r="D518" s="8"/>
      <c r="E518" s="8"/>
      <c r="F518" s="8"/>
      <c r="G518" s="8"/>
      <c r="H518" s="8"/>
      <c r="I518" s="9"/>
      <c r="J518" s="9"/>
      <c r="K518" s="10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7"/>
      <c r="B519" s="8"/>
      <c r="C519" s="8"/>
      <c r="D519" s="8"/>
      <c r="E519" s="8"/>
      <c r="F519" s="8"/>
      <c r="G519" s="8"/>
      <c r="H519" s="8"/>
      <c r="I519" s="9"/>
      <c r="J519" s="9"/>
      <c r="K519" s="10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7"/>
      <c r="B520" s="8"/>
      <c r="C520" s="8"/>
      <c r="D520" s="8"/>
      <c r="E520" s="8"/>
      <c r="F520" s="8"/>
      <c r="G520" s="8"/>
      <c r="H520" s="8"/>
      <c r="I520" s="9"/>
      <c r="J520" s="9"/>
      <c r="K520" s="10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7"/>
      <c r="B521" s="8"/>
      <c r="C521" s="8"/>
      <c r="D521" s="8"/>
      <c r="E521" s="8"/>
      <c r="F521" s="8"/>
      <c r="G521" s="8"/>
      <c r="H521" s="8"/>
      <c r="I521" s="9"/>
      <c r="J521" s="9"/>
      <c r="K521" s="10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7"/>
      <c r="B522" s="8"/>
      <c r="C522" s="8"/>
      <c r="D522" s="8"/>
      <c r="E522" s="8"/>
      <c r="F522" s="8"/>
      <c r="G522" s="8"/>
      <c r="H522" s="8"/>
      <c r="I522" s="9"/>
      <c r="J522" s="9"/>
      <c r="K522" s="10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7"/>
      <c r="B523" s="8"/>
      <c r="C523" s="8"/>
      <c r="D523" s="8"/>
      <c r="E523" s="8"/>
      <c r="F523" s="8"/>
      <c r="G523" s="8"/>
      <c r="H523" s="8"/>
      <c r="I523" s="9"/>
      <c r="J523" s="9"/>
      <c r="K523" s="10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7"/>
      <c r="B524" s="8"/>
      <c r="C524" s="8"/>
      <c r="D524" s="8"/>
      <c r="E524" s="8"/>
      <c r="F524" s="8"/>
      <c r="G524" s="8"/>
      <c r="H524" s="8"/>
      <c r="I524" s="9"/>
      <c r="J524" s="9"/>
      <c r="K524" s="10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7"/>
      <c r="B525" s="8"/>
      <c r="C525" s="8"/>
      <c r="D525" s="8"/>
      <c r="E525" s="8"/>
      <c r="F525" s="8"/>
      <c r="G525" s="8"/>
      <c r="H525" s="8"/>
      <c r="I525" s="9"/>
      <c r="J525" s="9"/>
      <c r="K525" s="10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7"/>
      <c r="B526" s="8"/>
      <c r="C526" s="8"/>
      <c r="D526" s="8"/>
      <c r="E526" s="8"/>
      <c r="F526" s="8"/>
      <c r="G526" s="8"/>
      <c r="H526" s="8"/>
      <c r="I526" s="9"/>
      <c r="J526" s="9"/>
      <c r="K526" s="10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7"/>
      <c r="B527" s="8"/>
      <c r="C527" s="8"/>
      <c r="D527" s="8"/>
      <c r="E527" s="8"/>
      <c r="F527" s="8"/>
      <c r="G527" s="8"/>
      <c r="H527" s="8"/>
      <c r="I527" s="9"/>
      <c r="J527" s="9"/>
      <c r="K527" s="10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7"/>
      <c r="B528" s="8"/>
      <c r="C528" s="8"/>
      <c r="D528" s="8"/>
      <c r="E528" s="8"/>
      <c r="F528" s="8"/>
      <c r="G528" s="8"/>
      <c r="H528" s="8"/>
      <c r="I528" s="9"/>
      <c r="J528" s="9"/>
      <c r="K528" s="10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7"/>
      <c r="B529" s="8"/>
      <c r="C529" s="8"/>
      <c r="D529" s="8"/>
      <c r="E529" s="8"/>
      <c r="F529" s="8"/>
      <c r="G529" s="8"/>
      <c r="H529" s="8"/>
      <c r="I529" s="9"/>
      <c r="J529" s="9"/>
      <c r="K529" s="10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7"/>
      <c r="B530" s="8"/>
      <c r="C530" s="8"/>
      <c r="D530" s="8"/>
      <c r="E530" s="8"/>
      <c r="F530" s="8"/>
      <c r="G530" s="8"/>
      <c r="H530" s="8"/>
      <c r="I530" s="9"/>
      <c r="J530" s="9"/>
      <c r="K530" s="10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7"/>
      <c r="B531" s="8"/>
      <c r="C531" s="8"/>
      <c r="D531" s="8"/>
      <c r="E531" s="8"/>
      <c r="F531" s="8"/>
      <c r="G531" s="8"/>
      <c r="H531" s="8"/>
      <c r="I531" s="9"/>
      <c r="J531" s="9"/>
      <c r="K531" s="10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7"/>
      <c r="B532" s="8"/>
      <c r="C532" s="8"/>
      <c r="D532" s="8"/>
      <c r="E532" s="8"/>
      <c r="F532" s="8"/>
      <c r="G532" s="8"/>
      <c r="H532" s="8"/>
      <c r="I532" s="9"/>
      <c r="J532" s="9"/>
      <c r="K532" s="10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7"/>
      <c r="B533" s="8"/>
      <c r="C533" s="8"/>
      <c r="D533" s="8"/>
      <c r="E533" s="8"/>
      <c r="F533" s="8"/>
      <c r="G533" s="8"/>
      <c r="H533" s="8"/>
      <c r="I533" s="9"/>
      <c r="J533" s="9"/>
      <c r="K533" s="10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7"/>
      <c r="B534" s="8"/>
      <c r="C534" s="8"/>
      <c r="D534" s="8"/>
      <c r="E534" s="8"/>
      <c r="F534" s="8"/>
      <c r="G534" s="8"/>
      <c r="H534" s="8"/>
      <c r="I534" s="9"/>
      <c r="J534" s="9"/>
      <c r="K534" s="10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7"/>
      <c r="B535" s="8"/>
      <c r="C535" s="8"/>
      <c r="D535" s="8"/>
      <c r="E535" s="8"/>
      <c r="F535" s="8"/>
      <c r="G535" s="8"/>
      <c r="H535" s="8"/>
      <c r="I535" s="9"/>
      <c r="J535" s="9"/>
      <c r="K535" s="1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7"/>
      <c r="B536" s="8"/>
      <c r="C536" s="8"/>
      <c r="D536" s="8"/>
      <c r="E536" s="8"/>
      <c r="F536" s="8"/>
      <c r="G536" s="8"/>
      <c r="H536" s="8"/>
      <c r="I536" s="9"/>
      <c r="J536" s="9"/>
      <c r="K536" s="1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7"/>
      <c r="B537" s="8"/>
      <c r="C537" s="8"/>
      <c r="D537" s="8"/>
      <c r="E537" s="8"/>
      <c r="F537" s="8"/>
      <c r="G537" s="8"/>
      <c r="H537" s="8"/>
      <c r="I537" s="9"/>
      <c r="J537" s="9"/>
      <c r="K537" s="1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7"/>
      <c r="B538" s="8"/>
      <c r="C538" s="8"/>
      <c r="D538" s="8"/>
      <c r="E538" s="8"/>
      <c r="F538" s="8"/>
      <c r="G538" s="8"/>
      <c r="H538" s="8"/>
      <c r="I538" s="9"/>
      <c r="J538" s="9"/>
      <c r="K538" s="1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7"/>
      <c r="B539" s="8"/>
      <c r="C539" s="8"/>
      <c r="D539" s="8"/>
      <c r="E539" s="8"/>
      <c r="F539" s="8"/>
      <c r="G539" s="8"/>
      <c r="H539" s="8"/>
      <c r="I539" s="9"/>
      <c r="J539" s="9"/>
      <c r="K539" s="1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7"/>
      <c r="B540" s="8"/>
      <c r="C540" s="8"/>
      <c r="D540" s="8"/>
      <c r="E540" s="8"/>
      <c r="F540" s="8"/>
      <c r="G540" s="8"/>
      <c r="H540" s="8"/>
      <c r="I540" s="9"/>
      <c r="J540" s="9"/>
      <c r="K540" s="1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7"/>
      <c r="B541" s="8"/>
      <c r="C541" s="8"/>
      <c r="D541" s="8"/>
      <c r="E541" s="8"/>
      <c r="F541" s="8"/>
      <c r="G541" s="8"/>
      <c r="H541" s="8"/>
      <c r="I541" s="9"/>
      <c r="J541" s="9"/>
      <c r="K541" s="1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7"/>
      <c r="B542" s="8"/>
      <c r="C542" s="8"/>
      <c r="D542" s="8"/>
      <c r="E542" s="8"/>
      <c r="F542" s="8"/>
      <c r="G542" s="8"/>
      <c r="H542" s="8"/>
      <c r="I542" s="9"/>
      <c r="J542" s="9"/>
      <c r="K542" s="1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7"/>
      <c r="B543" s="8"/>
      <c r="C543" s="8"/>
      <c r="D543" s="8"/>
      <c r="E543" s="8"/>
      <c r="F543" s="8"/>
      <c r="G543" s="8"/>
      <c r="H543" s="8"/>
      <c r="I543" s="9"/>
      <c r="J543" s="9"/>
      <c r="K543" s="1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7"/>
      <c r="B544" s="8"/>
      <c r="C544" s="8"/>
      <c r="D544" s="8"/>
      <c r="E544" s="8"/>
      <c r="F544" s="8"/>
      <c r="G544" s="8"/>
      <c r="H544" s="8"/>
      <c r="I544" s="9"/>
      <c r="J544" s="9"/>
      <c r="K544" s="1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7"/>
      <c r="B545" s="8"/>
      <c r="C545" s="8"/>
      <c r="D545" s="8"/>
      <c r="E545" s="8"/>
      <c r="F545" s="8"/>
      <c r="G545" s="8"/>
      <c r="H545" s="8"/>
      <c r="I545" s="9"/>
      <c r="J545" s="9"/>
      <c r="K545" s="1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7"/>
      <c r="B546" s="8"/>
      <c r="C546" s="8"/>
      <c r="D546" s="8"/>
      <c r="E546" s="8"/>
      <c r="F546" s="8"/>
      <c r="G546" s="8"/>
      <c r="H546" s="8"/>
      <c r="I546" s="9"/>
      <c r="J546" s="9"/>
      <c r="K546" s="1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7"/>
      <c r="B547" s="8"/>
      <c r="C547" s="8"/>
      <c r="D547" s="8"/>
      <c r="E547" s="8"/>
      <c r="F547" s="8"/>
      <c r="G547" s="8"/>
      <c r="H547" s="8"/>
      <c r="I547" s="9"/>
      <c r="J547" s="9"/>
      <c r="K547" s="1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7"/>
      <c r="B548" s="8"/>
      <c r="C548" s="8"/>
      <c r="D548" s="8"/>
      <c r="E548" s="8"/>
      <c r="F548" s="8"/>
      <c r="G548" s="8"/>
      <c r="H548" s="8"/>
      <c r="I548" s="9"/>
      <c r="J548" s="9"/>
      <c r="K548" s="1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7"/>
      <c r="B549" s="8"/>
      <c r="C549" s="8"/>
      <c r="D549" s="8"/>
      <c r="E549" s="8"/>
      <c r="F549" s="8"/>
      <c r="G549" s="8"/>
      <c r="H549" s="8"/>
      <c r="I549" s="9"/>
      <c r="J549" s="9"/>
      <c r="K549" s="1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7"/>
      <c r="B550" s="8"/>
      <c r="C550" s="8"/>
      <c r="D550" s="8"/>
      <c r="E550" s="8"/>
      <c r="F550" s="8"/>
      <c r="G550" s="8"/>
      <c r="H550" s="8"/>
      <c r="I550" s="9"/>
      <c r="J550" s="9"/>
      <c r="K550" s="1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7"/>
      <c r="B551" s="8"/>
      <c r="C551" s="8"/>
      <c r="D551" s="8"/>
      <c r="E551" s="8"/>
      <c r="F551" s="8"/>
      <c r="G551" s="8"/>
      <c r="H551" s="8"/>
      <c r="I551" s="9"/>
      <c r="J551" s="9"/>
      <c r="K551" s="10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7"/>
      <c r="B552" s="8"/>
      <c r="C552" s="8"/>
      <c r="D552" s="8"/>
      <c r="E552" s="8"/>
      <c r="F552" s="8"/>
      <c r="G552" s="8"/>
      <c r="H552" s="8"/>
      <c r="I552" s="9"/>
      <c r="J552" s="9"/>
      <c r="K552" s="10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7"/>
      <c r="B553" s="8"/>
      <c r="C553" s="8"/>
      <c r="D553" s="8"/>
      <c r="E553" s="8"/>
      <c r="F553" s="8"/>
      <c r="G553" s="8"/>
      <c r="H553" s="8"/>
      <c r="I553" s="9"/>
      <c r="J553" s="9"/>
      <c r="K553" s="10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7"/>
      <c r="B554" s="8"/>
      <c r="C554" s="8"/>
      <c r="D554" s="8"/>
      <c r="E554" s="8"/>
      <c r="F554" s="8"/>
      <c r="G554" s="8"/>
      <c r="H554" s="8"/>
      <c r="I554" s="9"/>
      <c r="J554" s="9"/>
      <c r="K554" s="10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7"/>
      <c r="B555" s="8"/>
      <c r="C555" s="8"/>
      <c r="D555" s="8"/>
      <c r="E555" s="8"/>
      <c r="F555" s="8"/>
      <c r="G555" s="8"/>
      <c r="H555" s="8"/>
      <c r="I555" s="9"/>
      <c r="J555" s="9"/>
      <c r="K555" s="10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7"/>
      <c r="B556" s="8"/>
      <c r="C556" s="8"/>
      <c r="D556" s="8"/>
      <c r="E556" s="8"/>
      <c r="F556" s="8"/>
      <c r="G556" s="8"/>
      <c r="H556" s="8"/>
      <c r="I556" s="9"/>
      <c r="J556" s="9"/>
      <c r="K556" s="10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7"/>
      <c r="B557" s="8"/>
      <c r="C557" s="8"/>
      <c r="D557" s="8"/>
      <c r="E557" s="8"/>
      <c r="F557" s="8"/>
      <c r="G557" s="8"/>
      <c r="H557" s="8"/>
      <c r="I557" s="9"/>
      <c r="J557" s="9"/>
      <c r="K557" s="10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7"/>
      <c r="B558" s="8"/>
      <c r="C558" s="8"/>
      <c r="D558" s="8"/>
      <c r="E558" s="8"/>
      <c r="F558" s="8"/>
      <c r="G558" s="8"/>
      <c r="H558" s="8"/>
      <c r="I558" s="9"/>
      <c r="J558" s="9"/>
      <c r="K558" s="10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7"/>
      <c r="B559" s="8"/>
      <c r="C559" s="8"/>
      <c r="D559" s="8"/>
      <c r="E559" s="8"/>
      <c r="F559" s="8"/>
      <c r="G559" s="8"/>
      <c r="H559" s="8"/>
      <c r="I559" s="9"/>
      <c r="J559" s="9"/>
      <c r="K559" s="10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7"/>
      <c r="B560" s="8"/>
      <c r="C560" s="8"/>
      <c r="D560" s="8"/>
      <c r="E560" s="8"/>
      <c r="F560" s="8"/>
      <c r="G560" s="8"/>
      <c r="H560" s="8"/>
      <c r="I560" s="9"/>
      <c r="J560" s="9"/>
      <c r="K560" s="10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7"/>
      <c r="B561" s="8"/>
      <c r="C561" s="8"/>
      <c r="D561" s="8"/>
      <c r="E561" s="8"/>
      <c r="F561" s="8"/>
      <c r="G561" s="8"/>
      <c r="H561" s="8"/>
      <c r="I561" s="9"/>
      <c r="J561" s="9"/>
      <c r="K561" s="10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7"/>
      <c r="B562" s="8"/>
      <c r="C562" s="8"/>
      <c r="D562" s="8"/>
      <c r="E562" s="8"/>
      <c r="F562" s="8"/>
      <c r="G562" s="8"/>
      <c r="H562" s="8"/>
      <c r="I562" s="9"/>
      <c r="J562" s="9"/>
      <c r="K562" s="10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7"/>
      <c r="B563" s="8"/>
      <c r="C563" s="8"/>
      <c r="D563" s="8"/>
      <c r="E563" s="8"/>
      <c r="F563" s="8"/>
      <c r="G563" s="8"/>
      <c r="H563" s="8"/>
      <c r="I563" s="9"/>
      <c r="J563" s="9"/>
      <c r="K563" s="10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7"/>
      <c r="B564" s="8"/>
      <c r="C564" s="8"/>
      <c r="D564" s="8"/>
      <c r="E564" s="8"/>
      <c r="F564" s="8"/>
      <c r="G564" s="8"/>
      <c r="H564" s="8"/>
      <c r="I564" s="9"/>
      <c r="J564" s="9"/>
      <c r="K564" s="10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7"/>
      <c r="B565" s="8"/>
      <c r="C565" s="8"/>
      <c r="D565" s="8"/>
      <c r="E565" s="8"/>
      <c r="F565" s="8"/>
      <c r="G565" s="8"/>
      <c r="H565" s="8"/>
      <c r="I565" s="9"/>
      <c r="J565" s="9"/>
      <c r="K565" s="10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7"/>
      <c r="B566" s="8"/>
      <c r="C566" s="8"/>
      <c r="D566" s="8"/>
      <c r="E566" s="8"/>
      <c r="F566" s="8"/>
      <c r="G566" s="8"/>
      <c r="H566" s="8"/>
      <c r="I566" s="9"/>
      <c r="J566" s="9"/>
      <c r="K566" s="10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7"/>
      <c r="B567" s="8"/>
      <c r="C567" s="8"/>
      <c r="D567" s="8"/>
      <c r="E567" s="8"/>
      <c r="F567" s="8"/>
      <c r="G567" s="8"/>
      <c r="H567" s="8"/>
      <c r="I567" s="9"/>
      <c r="J567" s="9"/>
      <c r="K567" s="10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7"/>
      <c r="B568" s="8"/>
      <c r="C568" s="8"/>
      <c r="D568" s="8"/>
      <c r="E568" s="8"/>
      <c r="F568" s="8"/>
      <c r="G568" s="8"/>
      <c r="H568" s="8"/>
      <c r="I568" s="9"/>
      <c r="J568" s="9"/>
      <c r="K568" s="10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7"/>
      <c r="B569" s="8"/>
      <c r="C569" s="8"/>
      <c r="D569" s="8"/>
      <c r="E569" s="8"/>
      <c r="F569" s="8"/>
      <c r="G569" s="8"/>
      <c r="H569" s="8"/>
      <c r="I569" s="9"/>
      <c r="J569" s="9"/>
      <c r="K569" s="10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7"/>
      <c r="B570" s="8"/>
      <c r="C570" s="8"/>
      <c r="D570" s="8"/>
      <c r="E570" s="8"/>
      <c r="F570" s="8"/>
      <c r="G570" s="8"/>
      <c r="H570" s="8"/>
      <c r="I570" s="9"/>
      <c r="J570" s="9"/>
      <c r="K570" s="10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7"/>
      <c r="B571" s="8"/>
      <c r="C571" s="8"/>
      <c r="D571" s="8"/>
      <c r="E571" s="8"/>
      <c r="F571" s="8"/>
      <c r="G571" s="8"/>
      <c r="H571" s="8"/>
      <c r="I571" s="9"/>
      <c r="J571" s="9"/>
      <c r="K571" s="10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7"/>
      <c r="B572" s="8"/>
      <c r="C572" s="8"/>
      <c r="D572" s="8"/>
      <c r="E572" s="8"/>
      <c r="F572" s="8"/>
      <c r="G572" s="8"/>
      <c r="H572" s="8"/>
      <c r="I572" s="9"/>
      <c r="J572" s="9"/>
      <c r="K572" s="10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7"/>
      <c r="B573" s="8"/>
      <c r="C573" s="8"/>
      <c r="D573" s="8"/>
      <c r="E573" s="8"/>
      <c r="F573" s="8"/>
      <c r="G573" s="8"/>
      <c r="H573" s="8"/>
      <c r="I573" s="9"/>
      <c r="J573" s="9"/>
      <c r="K573" s="10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7"/>
      <c r="B574" s="8"/>
      <c r="C574" s="8"/>
      <c r="D574" s="8"/>
      <c r="E574" s="8"/>
      <c r="F574" s="8"/>
      <c r="G574" s="8"/>
      <c r="H574" s="8"/>
      <c r="I574" s="9"/>
      <c r="J574" s="9"/>
      <c r="K574" s="10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7"/>
      <c r="B575" s="8"/>
      <c r="C575" s="8"/>
      <c r="D575" s="8"/>
      <c r="E575" s="8"/>
      <c r="F575" s="8"/>
      <c r="G575" s="8"/>
      <c r="H575" s="8"/>
      <c r="I575" s="9"/>
      <c r="J575" s="9"/>
      <c r="K575" s="10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7"/>
      <c r="B576" s="8"/>
      <c r="C576" s="8"/>
      <c r="D576" s="8"/>
      <c r="E576" s="8"/>
      <c r="F576" s="8"/>
      <c r="G576" s="8"/>
      <c r="H576" s="8"/>
      <c r="I576" s="9"/>
      <c r="J576" s="9"/>
      <c r="K576" s="10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7"/>
      <c r="B577" s="8"/>
      <c r="C577" s="8"/>
      <c r="D577" s="8"/>
      <c r="E577" s="8"/>
      <c r="F577" s="8"/>
      <c r="G577" s="8"/>
      <c r="H577" s="8"/>
      <c r="I577" s="9"/>
      <c r="J577" s="9"/>
      <c r="K577" s="10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7"/>
      <c r="B578" s="8"/>
      <c r="C578" s="8"/>
      <c r="D578" s="8"/>
      <c r="E578" s="8"/>
      <c r="F578" s="8"/>
      <c r="G578" s="8"/>
      <c r="H578" s="8"/>
      <c r="I578" s="9"/>
      <c r="J578" s="9"/>
      <c r="K578" s="10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7"/>
      <c r="B579" s="8"/>
      <c r="C579" s="8"/>
      <c r="D579" s="8"/>
      <c r="E579" s="8"/>
      <c r="F579" s="8"/>
      <c r="G579" s="8"/>
      <c r="H579" s="8"/>
      <c r="I579" s="9"/>
      <c r="J579" s="9"/>
      <c r="K579" s="10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7"/>
      <c r="B580" s="8"/>
      <c r="C580" s="8"/>
      <c r="D580" s="8"/>
      <c r="E580" s="8"/>
      <c r="F580" s="8"/>
      <c r="G580" s="8"/>
      <c r="H580" s="8"/>
      <c r="I580" s="9"/>
      <c r="J580" s="9"/>
      <c r="K580" s="10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7"/>
      <c r="B581" s="8"/>
      <c r="C581" s="8"/>
      <c r="D581" s="8"/>
      <c r="E581" s="8"/>
      <c r="F581" s="8"/>
      <c r="G581" s="8"/>
      <c r="H581" s="8"/>
      <c r="I581" s="9"/>
      <c r="J581" s="9"/>
      <c r="K581" s="10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7"/>
      <c r="B582" s="8"/>
      <c r="C582" s="8"/>
      <c r="D582" s="8"/>
      <c r="E582" s="8"/>
      <c r="F582" s="8"/>
      <c r="G582" s="8"/>
      <c r="H582" s="8"/>
      <c r="I582" s="9"/>
      <c r="J582" s="9"/>
      <c r="K582" s="10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7"/>
      <c r="B583" s="8"/>
      <c r="C583" s="8"/>
      <c r="D583" s="8"/>
      <c r="E583" s="8"/>
      <c r="F583" s="8"/>
      <c r="G583" s="8"/>
      <c r="H583" s="8"/>
      <c r="I583" s="9"/>
      <c r="J583" s="9"/>
      <c r="K583" s="10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7"/>
      <c r="B584" s="8"/>
      <c r="C584" s="8"/>
      <c r="D584" s="8"/>
      <c r="E584" s="8"/>
      <c r="F584" s="8"/>
      <c r="G584" s="8"/>
      <c r="H584" s="8"/>
      <c r="I584" s="9"/>
      <c r="J584" s="9"/>
      <c r="K584" s="10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7"/>
      <c r="B585" s="8"/>
      <c r="C585" s="8"/>
      <c r="D585" s="8"/>
      <c r="E585" s="8"/>
      <c r="F585" s="8"/>
      <c r="G585" s="8"/>
      <c r="H585" s="8"/>
      <c r="I585" s="9"/>
      <c r="J585" s="9"/>
      <c r="K585" s="10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11"/>
      <c r="B586" s="12"/>
      <c r="C586" s="12"/>
      <c r="D586" s="12"/>
      <c r="E586" s="12"/>
      <c r="F586" s="12"/>
      <c r="G586" s="12"/>
      <c r="H586" s="12"/>
      <c r="I586" s="14"/>
      <c r="J586" s="14"/>
      <c r="K586" s="10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7"/>
      <c r="B587" s="8"/>
      <c r="C587" s="8"/>
      <c r="D587" s="8"/>
      <c r="E587" s="8"/>
      <c r="F587" s="8"/>
      <c r="G587" s="8"/>
      <c r="H587" s="8"/>
      <c r="I587" s="9"/>
      <c r="J587" s="9"/>
      <c r="K587" s="10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7"/>
      <c r="B588" s="8"/>
      <c r="C588" s="8"/>
      <c r="D588" s="8"/>
      <c r="E588" s="8"/>
      <c r="F588" s="8"/>
      <c r="G588" s="8"/>
      <c r="H588" s="8"/>
      <c r="I588" s="9"/>
      <c r="J588" s="9"/>
      <c r="K588" s="10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7"/>
      <c r="B589" s="8"/>
      <c r="C589" s="8"/>
      <c r="D589" s="8"/>
      <c r="E589" s="8"/>
      <c r="F589" s="8"/>
      <c r="G589" s="8"/>
      <c r="H589" s="8"/>
      <c r="I589" s="9"/>
      <c r="J589" s="9"/>
      <c r="K589" s="10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7"/>
      <c r="B590" s="8"/>
      <c r="C590" s="8"/>
      <c r="D590" s="8"/>
      <c r="E590" s="8"/>
      <c r="F590" s="8"/>
      <c r="G590" s="8"/>
      <c r="H590" s="8"/>
      <c r="I590" s="9"/>
      <c r="J590" s="9"/>
      <c r="K590" s="10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7"/>
      <c r="B591" s="8"/>
      <c r="C591" s="8"/>
      <c r="D591" s="8"/>
      <c r="E591" s="8"/>
      <c r="F591" s="8"/>
      <c r="G591" s="8"/>
      <c r="H591" s="8"/>
      <c r="I591" s="9"/>
      <c r="J591" s="9"/>
      <c r="K591" s="10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7"/>
      <c r="B592" s="8"/>
      <c r="C592" s="8"/>
      <c r="D592" s="8"/>
      <c r="E592" s="8"/>
      <c r="F592" s="8"/>
      <c r="G592" s="8"/>
      <c r="H592" s="8"/>
      <c r="I592" s="9"/>
      <c r="J592" s="9"/>
      <c r="K592" s="10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7"/>
      <c r="B593" s="8"/>
      <c r="C593" s="8"/>
      <c r="D593" s="8"/>
      <c r="E593" s="8"/>
      <c r="F593" s="8"/>
      <c r="G593" s="8"/>
      <c r="H593" s="8"/>
      <c r="I593" s="9"/>
      <c r="J593" s="9"/>
      <c r="K593" s="10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7"/>
      <c r="B594" s="8"/>
      <c r="C594" s="8"/>
      <c r="D594" s="8"/>
      <c r="E594" s="8"/>
      <c r="F594" s="8"/>
      <c r="G594" s="8"/>
      <c r="H594" s="8"/>
      <c r="I594" s="9"/>
      <c r="J594" s="9"/>
      <c r="K594" s="10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7"/>
      <c r="B595" s="8"/>
      <c r="C595" s="8"/>
      <c r="D595" s="8"/>
      <c r="E595" s="8"/>
      <c r="F595" s="8"/>
      <c r="G595" s="8"/>
      <c r="H595" s="8"/>
      <c r="I595" s="9"/>
      <c r="J595" s="9"/>
      <c r="K595" s="10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7"/>
      <c r="B596" s="8"/>
      <c r="C596" s="8"/>
      <c r="D596" s="8"/>
      <c r="E596" s="8"/>
      <c r="F596" s="8"/>
      <c r="G596" s="8"/>
      <c r="H596" s="8"/>
      <c r="I596" s="9"/>
      <c r="J596" s="9"/>
      <c r="K596" s="10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11"/>
      <c r="B597" s="12"/>
      <c r="C597" s="12"/>
      <c r="D597" s="12"/>
      <c r="E597" s="12"/>
      <c r="F597" s="12"/>
      <c r="G597" s="12"/>
      <c r="H597" s="12"/>
      <c r="I597" s="14"/>
      <c r="J597" s="14"/>
      <c r="K597" s="10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7"/>
      <c r="B598" s="8"/>
      <c r="C598" s="8"/>
      <c r="D598" s="8"/>
      <c r="E598" s="8"/>
      <c r="F598" s="8"/>
      <c r="G598" s="8"/>
      <c r="H598" s="8"/>
      <c r="I598" s="9"/>
      <c r="J598" s="9"/>
      <c r="K598" s="10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7"/>
      <c r="B599" s="8"/>
      <c r="C599" s="8"/>
      <c r="D599" s="8"/>
      <c r="E599" s="8"/>
      <c r="F599" s="8"/>
      <c r="G599" s="8"/>
      <c r="H599" s="8"/>
      <c r="I599" s="9"/>
      <c r="J599" s="9"/>
      <c r="K599" s="10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7"/>
      <c r="B600" s="8"/>
      <c r="C600" s="8"/>
      <c r="D600" s="8"/>
      <c r="E600" s="8"/>
      <c r="F600" s="8"/>
      <c r="G600" s="8"/>
      <c r="H600" s="8"/>
      <c r="I600" s="9"/>
      <c r="J600" s="9"/>
      <c r="K600" s="10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7"/>
      <c r="B601" s="8"/>
      <c r="C601" s="8"/>
      <c r="D601" s="8"/>
      <c r="E601" s="8"/>
      <c r="F601" s="8"/>
      <c r="G601" s="8"/>
      <c r="H601" s="8"/>
      <c r="I601" s="9"/>
      <c r="J601" s="9"/>
      <c r="K601" s="10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7"/>
      <c r="B602" s="8"/>
      <c r="C602" s="8"/>
      <c r="D602" s="8"/>
      <c r="E602" s="8"/>
      <c r="F602" s="8"/>
      <c r="G602" s="8"/>
      <c r="H602" s="8"/>
      <c r="I602" s="9"/>
      <c r="J602" s="9"/>
      <c r="K602" s="10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7"/>
      <c r="B603" s="8"/>
      <c r="C603" s="8"/>
      <c r="D603" s="8"/>
      <c r="E603" s="8"/>
      <c r="F603" s="8"/>
      <c r="G603" s="8"/>
      <c r="H603" s="8"/>
      <c r="I603" s="9"/>
      <c r="J603" s="9"/>
      <c r="K603" s="10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7"/>
      <c r="B604" s="8"/>
      <c r="C604" s="8"/>
      <c r="D604" s="8"/>
      <c r="E604" s="8"/>
      <c r="F604" s="8"/>
      <c r="G604" s="8"/>
      <c r="H604" s="8"/>
      <c r="I604" s="9"/>
      <c r="J604" s="9"/>
      <c r="K604" s="10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7"/>
      <c r="B605" s="8"/>
      <c r="C605" s="8"/>
      <c r="D605" s="8"/>
      <c r="E605" s="8"/>
      <c r="F605" s="8"/>
      <c r="G605" s="8"/>
      <c r="H605" s="8"/>
      <c r="I605" s="9"/>
      <c r="J605" s="9"/>
      <c r="K605" s="10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7"/>
      <c r="B606" s="8"/>
      <c r="C606" s="8"/>
      <c r="D606" s="8"/>
      <c r="E606" s="8"/>
      <c r="F606" s="8"/>
      <c r="G606" s="8"/>
      <c r="H606" s="8"/>
      <c r="I606" s="9"/>
      <c r="J606" s="9"/>
      <c r="K606" s="10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7"/>
      <c r="B607" s="8"/>
      <c r="C607" s="8"/>
      <c r="D607" s="8"/>
      <c r="E607" s="8"/>
      <c r="F607" s="8"/>
      <c r="G607" s="8"/>
      <c r="H607" s="8"/>
      <c r="I607" s="9"/>
      <c r="J607" s="9"/>
      <c r="K607" s="10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7"/>
      <c r="B608" s="8"/>
      <c r="C608" s="8"/>
      <c r="D608" s="8"/>
      <c r="E608" s="8"/>
      <c r="F608" s="8"/>
      <c r="G608" s="8"/>
      <c r="H608" s="8"/>
      <c r="I608" s="9"/>
      <c r="J608" s="9"/>
      <c r="K608" s="10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7"/>
      <c r="B609" s="8"/>
      <c r="C609" s="8"/>
      <c r="D609" s="8"/>
      <c r="E609" s="8"/>
      <c r="F609" s="8"/>
      <c r="G609" s="8"/>
      <c r="H609" s="8"/>
      <c r="I609" s="9"/>
      <c r="J609" s="9"/>
      <c r="K609" s="10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7"/>
      <c r="B610" s="8"/>
      <c r="C610" s="8"/>
      <c r="D610" s="8"/>
      <c r="E610" s="8"/>
      <c r="F610" s="8"/>
      <c r="G610" s="8"/>
      <c r="H610" s="8"/>
      <c r="I610" s="9"/>
      <c r="J610" s="9"/>
      <c r="K610" s="10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7"/>
      <c r="B611" s="8"/>
      <c r="C611" s="8"/>
      <c r="D611" s="8"/>
      <c r="E611" s="8"/>
      <c r="F611" s="8"/>
      <c r="G611" s="8"/>
      <c r="H611" s="8"/>
      <c r="I611" s="9"/>
      <c r="J611" s="9"/>
      <c r="K611" s="10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7"/>
      <c r="B612" s="8"/>
      <c r="C612" s="8"/>
      <c r="D612" s="8"/>
      <c r="E612" s="8"/>
      <c r="F612" s="8"/>
      <c r="G612" s="8"/>
      <c r="H612" s="8"/>
      <c r="I612" s="9"/>
      <c r="J612" s="9"/>
      <c r="K612" s="10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7"/>
      <c r="B613" s="8"/>
      <c r="C613" s="8"/>
      <c r="D613" s="8"/>
      <c r="E613" s="8"/>
      <c r="F613" s="8"/>
      <c r="G613" s="8"/>
      <c r="H613" s="8"/>
      <c r="I613" s="9"/>
      <c r="J613" s="9"/>
      <c r="K613" s="10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7"/>
      <c r="B614" s="8"/>
      <c r="C614" s="8"/>
      <c r="D614" s="8"/>
      <c r="E614" s="8"/>
      <c r="F614" s="8"/>
      <c r="G614" s="8"/>
      <c r="H614" s="8"/>
      <c r="I614" s="9"/>
      <c r="J614" s="9"/>
      <c r="K614" s="10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7"/>
      <c r="B615" s="8"/>
      <c r="C615" s="8"/>
      <c r="D615" s="8"/>
      <c r="E615" s="8"/>
      <c r="F615" s="8"/>
      <c r="G615" s="8"/>
      <c r="H615" s="8"/>
      <c r="I615" s="9"/>
      <c r="J615" s="9"/>
      <c r="K615" s="10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7"/>
      <c r="B616" s="8"/>
      <c r="C616" s="8"/>
      <c r="D616" s="8"/>
      <c r="E616" s="8"/>
      <c r="F616" s="8"/>
      <c r="G616" s="8"/>
      <c r="H616" s="8"/>
      <c r="I616" s="9"/>
      <c r="J616" s="9"/>
      <c r="K616" s="10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7"/>
      <c r="B617" s="8"/>
      <c r="C617" s="8"/>
      <c r="D617" s="8"/>
      <c r="E617" s="8"/>
      <c r="F617" s="8"/>
      <c r="G617" s="8"/>
      <c r="H617" s="8"/>
      <c r="I617" s="9"/>
      <c r="J617" s="9"/>
      <c r="K617" s="10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7"/>
      <c r="B618" s="8"/>
      <c r="C618" s="8"/>
      <c r="D618" s="8"/>
      <c r="E618" s="8"/>
      <c r="F618" s="8"/>
      <c r="G618" s="8"/>
      <c r="H618" s="8"/>
      <c r="I618" s="9"/>
      <c r="J618" s="9"/>
      <c r="K618" s="10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7"/>
      <c r="B619" s="8"/>
      <c r="C619" s="8"/>
      <c r="D619" s="8"/>
      <c r="E619" s="8"/>
      <c r="F619" s="8"/>
      <c r="G619" s="8"/>
      <c r="H619" s="8"/>
      <c r="I619" s="9"/>
      <c r="J619" s="9"/>
      <c r="K619" s="10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7"/>
      <c r="B620" s="8"/>
      <c r="C620" s="8"/>
      <c r="D620" s="8"/>
      <c r="E620" s="8"/>
      <c r="F620" s="8"/>
      <c r="G620" s="8"/>
      <c r="H620" s="8"/>
      <c r="I620" s="9"/>
      <c r="J620" s="9"/>
      <c r="K620" s="10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7"/>
      <c r="B621" s="8"/>
      <c r="C621" s="8"/>
      <c r="D621" s="8"/>
      <c r="E621" s="8"/>
      <c r="F621" s="8"/>
      <c r="G621" s="8"/>
      <c r="H621" s="8"/>
      <c r="I621" s="9"/>
      <c r="J621" s="9"/>
      <c r="K621" s="10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7"/>
      <c r="B622" s="8"/>
      <c r="C622" s="8"/>
      <c r="D622" s="8"/>
      <c r="E622" s="8"/>
      <c r="F622" s="8"/>
      <c r="G622" s="8"/>
      <c r="H622" s="8"/>
      <c r="I622" s="9"/>
      <c r="J622" s="9"/>
      <c r="K622" s="10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7"/>
      <c r="B623" s="8"/>
      <c r="C623" s="8"/>
      <c r="D623" s="8"/>
      <c r="E623" s="8"/>
      <c r="F623" s="8"/>
      <c r="G623" s="8"/>
      <c r="H623" s="8"/>
      <c r="I623" s="9"/>
      <c r="J623" s="9"/>
      <c r="K623" s="10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7"/>
      <c r="B624" s="8"/>
      <c r="C624" s="8"/>
      <c r="D624" s="8"/>
      <c r="E624" s="8"/>
      <c r="F624" s="8"/>
      <c r="G624" s="8"/>
      <c r="H624" s="8"/>
      <c r="I624" s="9"/>
      <c r="J624" s="9"/>
      <c r="K624" s="10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7"/>
      <c r="B625" s="8"/>
      <c r="C625" s="8"/>
      <c r="D625" s="8"/>
      <c r="E625" s="8"/>
      <c r="F625" s="8"/>
      <c r="G625" s="8"/>
      <c r="H625" s="8"/>
      <c r="I625" s="9"/>
      <c r="J625" s="9"/>
      <c r="K625" s="10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7"/>
      <c r="B626" s="8"/>
      <c r="C626" s="8"/>
      <c r="D626" s="8"/>
      <c r="E626" s="8"/>
      <c r="F626" s="8"/>
      <c r="G626" s="8"/>
      <c r="H626" s="8"/>
      <c r="I626" s="9"/>
      <c r="J626" s="9"/>
      <c r="K626" s="10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7"/>
      <c r="B627" s="8"/>
      <c r="C627" s="8"/>
      <c r="D627" s="8"/>
      <c r="E627" s="8"/>
      <c r="F627" s="8"/>
      <c r="G627" s="8"/>
      <c r="H627" s="8"/>
      <c r="I627" s="9"/>
      <c r="J627" s="9"/>
      <c r="K627" s="10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7"/>
      <c r="B628" s="8"/>
      <c r="C628" s="8"/>
      <c r="D628" s="8"/>
      <c r="E628" s="8"/>
      <c r="F628" s="8"/>
      <c r="G628" s="8"/>
      <c r="H628" s="8"/>
      <c r="I628" s="9"/>
      <c r="J628" s="9"/>
      <c r="K628" s="10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7"/>
      <c r="B629" s="8"/>
      <c r="C629" s="8"/>
      <c r="D629" s="8"/>
      <c r="E629" s="8"/>
      <c r="F629" s="8"/>
      <c r="G629" s="8"/>
      <c r="H629" s="8"/>
      <c r="I629" s="9"/>
      <c r="J629" s="9"/>
      <c r="K629" s="10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7"/>
      <c r="B630" s="8"/>
      <c r="C630" s="8"/>
      <c r="D630" s="8"/>
      <c r="E630" s="8"/>
      <c r="F630" s="8"/>
      <c r="G630" s="8"/>
      <c r="H630" s="8"/>
      <c r="I630" s="9"/>
      <c r="J630" s="9"/>
      <c r="K630" s="10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7"/>
      <c r="B631" s="8"/>
      <c r="C631" s="8"/>
      <c r="D631" s="8"/>
      <c r="E631" s="8"/>
      <c r="F631" s="8"/>
      <c r="G631" s="8"/>
      <c r="H631" s="8"/>
      <c r="I631" s="9"/>
      <c r="J631" s="9"/>
      <c r="K631" s="10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7"/>
      <c r="B632" s="8"/>
      <c r="C632" s="8"/>
      <c r="D632" s="8"/>
      <c r="E632" s="8"/>
      <c r="F632" s="8"/>
      <c r="G632" s="8"/>
      <c r="H632" s="8"/>
      <c r="I632" s="9"/>
      <c r="J632" s="9"/>
      <c r="K632" s="10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7"/>
      <c r="B633" s="8"/>
      <c r="C633" s="8"/>
      <c r="D633" s="8"/>
      <c r="E633" s="8"/>
      <c r="F633" s="8"/>
      <c r="G633" s="8"/>
      <c r="H633" s="8"/>
      <c r="I633" s="9"/>
      <c r="J633" s="9"/>
      <c r="K633" s="10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7"/>
      <c r="B634" s="8"/>
      <c r="C634" s="8"/>
      <c r="D634" s="8"/>
      <c r="E634" s="8"/>
      <c r="F634" s="8"/>
      <c r="G634" s="8"/>
      <c r="H634" s="8"/>
      <c r="I634" s="9"/>
      <c r="J634" s="9"/>
      <c r="K634" s="10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7"/>
      <c r="B635" s="8"/>
      <c r="C635" s="8"/>
      <c r="D635" s="8"/>
      <c r="E635" s="8"/>
      <c r="F635" s="8"/>
      <c r="G635" s="8"/>
      <c r="H635" s="8"/>
      <c r="I635" s="9"/>
      <c r="J635" s="9"/>
      <c r="K635" s="10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7"/>
      <c r="B636" s="8"/>
      <c r="C636" s="8"/>
      <c r="D636" s="8"/>
      <c r="E636" s="8"/>
      <c r="F636" s="8"/>
      <c r="G636" s="8"/>
      <c r="H636" s="8"/>
      <c r="I636" s="9"/>
      <c r="J636" s="9"/>
      <c r="K636" s="10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7"/>
      <c r="B637" s="8"/>
      <c r="C637" s="8"/>
      <c r="D637" s="8"/>
      <c r="E637" s="8"/>
      <c r="F637" s="8"/>
      <c r="G637" s="8"/>
      <c r="H637" s="8"/>
      <c r="I637" s="9"/>
      <c r="J637" s="9"/>
      <c r="K637" s="10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7"/>
      <c r="B638" s="8"/>
      <c r="C638" s="8"/>
      <c r="D638" s="8"/>
      <c r="E638" s="8"/>
      <c r="F638" s="8"/>
      <c r="G638" s="8"/>
      <c r="H638" s="8"/>
      <c r="I638" s="9"/>
      <c r="J638" s="9"/>
      <c r="K638" s="10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7"/>
      <c r="B639" s="8"/>
      <c r="C639" s="8"/>
      <c r="D639" s="8"/>
      <c r="E639" s="8"/>
      <c r="F639" s="8"/>
      <c r="G639" s="8"/>
      <c r="H639" s="8"/>
      <c r="I639" s="9"/>
      <c r="J639" s="9"/>
      <c r="K639" s="10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7"/>
      <c r="B640" s="8"/>
      <c r="C640" s="8"/>
      <c r="D640" s="8"/>
      <c r="E640" s="8"/>
      <c r="F640" s="8"/>
      <c r="G640" s="8"/>
      <c r="H640" s="8"/>
      <c r="I640" s="9"/>
      <c r="J640" s="9"/>
      <c r="K640" s="10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7"/>
      <c r="B641" s="8"/>
      <c r="C641" s="8"/>
      <c r="D641" s="8"/>
      <c r="E641" s="8"/>
      <c r="F641" s="8"/>
      <c r="G641" s="8"/>
      <c r="H641" s="8"/>
      <c r="I641" s="9"/>
      <c r="J641" s="9"/>
      <c r="K641" s="10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11"/>
      <c r="B642" s="12"/>
      <c r="C642" s="12"/>
      <c r="D642" s="12"/>
      <c r="E642" s="12"/>
      <c r="F642" s="12"/>
      <c r="G642" s="12"/>
      <c r="H642" s="12"/>
      <c r="I642" s="14"/>
      <c r="J642" s="14"/>
      <c r="K642" s="10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7"/>
      <c r="B643" s="8"/>
      <c r="C643" s="8"/>
      <c r="D643" s="8"/>
      <c r="E643" s="8"/>
      <c r="F643" s="8"/>
      <c r="G643" s="8"/>
      <c r="H643" s="8"/>
      <c r="I643" s="9"/>
      <c r="J643" s="9"/>
      <c r="K643" s="10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7"/>
      <c r="B644" s="8"/>
      <c r="C644" s="8"/>
      <c r="D644" s="8"/>
      <c r="E644" s="8"/>
      <c r="F644" s="8"/>
      <c r="G644" s="8"/>
      <c r="H644" s="8"/>
      <c r="I644" s="9"/>
      <c r="J644" s="9"/>
      <c r="K644" s="10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7"/>
      <c r="B645" s="8"/>
      <c r="C645" s="8"/>
      <c r="D645" s="8"/>
      <c r="E645" s="8"/>
      <c r="F645" s="8"/>
      <c r="G645" s="8"/>
      <c r="H645" s="8"/>
      <c r="I645" s="9"/>
      <c r="J645" s="9"/>
      <c r="K645" s="10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7"/>
      <c r="B646" s="8"/>
      <c r="C646" s="8"/>
      <c r="D646" s="8"/>
      <c r="E646" s="8"/>
      <c r="F646" s="8"/>
      <c r="G646" s="8"/>
      <c r="H646" s="8"/>
      <c r="I646" s="9"/>
      <c r="J646" s="9"/>
      <c r="K646" s="10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7"/>
      <c r="B647" s="8"/>
      <c r="C647" s="8"/>
      <c r="D647" s="8"/>
      <c r="E647" s="8"/>
      <c r="F647" s="8"/>
      <c r="G647" s="8"/>
      <c r="H647" s="8"/>
      <c r="I647" s="9"/>
      <c r="J647" s="9"/>
      <c r="K647" s="10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7"/>
      <c r="B648" s="8"/>
      <c r="C648" s="8"/>
      <c r="D648" s="8"/>
      <c r="E648" s="8"/>
      <c r="F648" s="8"/>
      <c r="G648" s="8"/>
      <c r="H648" s="8"/>
      <c r="I648" s="9"/>
      <c r="J648" s="9"/>
      <c r="K648" s="10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7"/>
      <c r="B649" s="8"/>
      <c r="C649" s="8"/>
      <c r="D649" s="8"/>
      <c r="E649" s="8"/>
      <c r="F649" s="8"/>
      <c r="G649" s="8"/>
      <c r="H649" s="8"/>
      <c r="I649" s="9"/>
      <c r="J649" s="9"/>
      <c r="K649" s="10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7"/>
      <c r="B650" s="8"/>
      <c r="C650" s="8"/>
      <c r="D650" s="8"/>
      <c r="E650" s="8"/>
      <c r="F650" s="8"/>
      <c r="G650" s="8"/>
      <c r="H650" s="8"/>
      <c r="I650" s="9"/>
      <c r="J650" s="9"/>
      <c r="K650" s="10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7"/>
      <c r="B651" s="8"/>
      <c r="C651" s="8"/>
      <c r="D651" s="8"/>
      <c r="E651" s="8"/>
      <c r="F651" s="8"/>
      <c r="G651" s="8"/>
      <c r="H651" s="8"/>
      <c r="I651" s="9"/>
      <c r="J651" s="9"/>
      <c r="K651" s="10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7"/>
      <c r="B652" s="8"/>
      <c r="C652" s="8"/>
      <c r="D652" s="8"/>
      <c r="E652" s="8"/>
      <c r="F652" s="8"/>
      <c r="G652" s="8"/>
      <c r="H652" s="8"/>
      <c r="I652" s="9"/>
      <c r="J652" s="9"/>
      <c r="K652" s="10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7"/>
      <c r="B653" s="8"/>
      <c r="C653" s="8"/>
      <c r="D653" s="8"/>
      <c r="E653" s="8"/>
      <c r="F653" s="8"/>
      <c r="G653" s="8"/>
      <c r="H653" s="8"/>
      <c r="I653" s="9"/>
      <c r="J653" s="9"/>
      <c r="K653" s="10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7"/>
      <c r="B654" s="8"/>
      <c r="C654" s="8"/>
      <c r="D654" s="8"/>
      <c r="E654" s="8"/>
      <c r="F654" s="8"/>
      <c r="G654" s="8"/>
      <c r="H654" s="8"/>
      <c r="I654" s="9"/>
      <c r="J654" s="9"/>
      <c r="K654" s="10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7"/>
      <c r="B655" s="8"/>
      <c r="C655" s="8"/>
      <c r="D655" s="8"/>
      <c r="E655" s="8"/>
      <c r="F655" s="8"/>
      <c r="G655" s="8"/>
      <c r="H655" s="8"/>
      <c r="I655" s="9"/>
      <c r="J655" s="9"/>
      <c r="K655" s="10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7"/>
      <c r="B656" s="8"/>
      <c r="C656" s="8"/>
      <c r="D656" s="8"/>
      <c r="E656" s="8"/>
      <c r="F656" s="8"/>
      <c r="G656" s="8"/>
      <c r="H656" s="8"/>
      <c r="I656" s="9"/>
      <c r="J656" s="9"/>
      <c r="K656" s="10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7"/>
      <c r="B657" s="8"/>
      <c r="C657" s="8"/>
      <c r="D657" s="8"/>
      <c r="E657" s="8"/>
      <c r="F657" s="8"/>
      <c r="G657" s="8"/>
      <c r="H657" s="8"/>
      <c r="I657" s="9"/>
      <c r="J657" s="9"/>
      <c r="K657" s="10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7"/>
      <c r="B658" s="8"/>
      <c r="C658" s="8"/>
      <c r="D658" s="8"/>
      <c r="E658" s="8"/>
      <c r="F658" s="8"/>
      <c r="G658" s="8"/>
      <c r="H658" s="8"/>
      <c r="I658" s="9"/>
      <c r="J658" s="9"/>
      <c r="K658" s="10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7"/>
      <c r="B659" s="8"/>
      <c r="C659" s="8"/>
      <c r="D659" s="8"/>
      <c r="E659" s="8"/>
      <c r="F659" s="8"/>
      <c r="G659" s="8"/>
      <c r="H659" s="8"/>
      <c r="I659" s="9"/>
      <c r="J659" s="9"/>
      <c r="K659" s="10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7"/>
      <c r="B660" s="8"/>
      <c r="C660" s="8"/>
      <c r="D660" s="8"/>
      <c r="E660" s="8"/>
      <c r="F660" s="8"/>
      <c r="G660" s="8"/>
      <c r="H660" s="8"/>
      <c r="I660" s="9"/>
      <c r="J660" s="9"/>
      <c r="K660" s="10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7"/>
      <c r="B661" s="8"/>
      <c r="C661" s="8"/>
      <c r="D661" s="8"/>
      <c r="E661" s="8"/>
      <c r="F661" s="8"/>
      <c r="G661" s="8"/>
      <c r="H661" s="8"/>
      <c r="I661" s="9"/>
      <c r="J661" s="9"/>
      <c r="K661" s="10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7"/>
      <c r="B662" s="8"/>
      <c r="C662" s="8"/>
      <c r="D662" s="8"/>
      <c r="E662" s="8"/>
      <c r="F662" s="8"/>
      <c r="G662" s="8"/>
      <c r="H662" s="8"/>
      <c r="I662" s="9"/>
      <c r="J662" s="9"/>
      <c r="K662" s="10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7"/>
      <c r="B663" s="8"/>
      <c r="C663" s="8"/>
      <c r="D663" s="8"/>
      <c r="E663" s="8"/>
      <c r="F663" s="8"/>
      <c r="G663" s="8"/>
      <c r="H663" s="8"/>
      <c r="I663" s="9"/>
      <c r="J663" s="9"/>
      <c r="K663" s="10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7"/>
      <c r="B664" s="8"/>
      <c r="C664" s="8"/>
      <c r="D664" s="8"/>
      <c r="E664" s="8"/>
      <c r="F664" s="8"/>
      <c r="G664" s="8"/>
      <c r="H664" s="8"/>
      <c r="I664" s="9"/>
      <c r="J664" s="9"/>
      <c r="K664" s="10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7"/>
      <c r="B665" s="8"/>
      <c r="C665" s="8"/>
      <c r="D665" s="8"/>
      <c r="E665" s="8"/>
      <c r="F665" s="8"/>
      <c r="G665" s="8"/>
      <c r="H665" s="8"/>
      <c r="I665" s="9"/>
      <c r="J665" s="9"/>
      <c r="K665" s="10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11"/>
      <c r="B666" s="12"/>
      <c r="C666" s="12"/>
      <c r="D666" s="12"/>
      <c r="E666" s="12"/>
      <c r="F666" s="12"/>
      <c r="G666" s="12"/>
      <c r="H666" s="12"/>
      <c r="I666" s="14"/>
      <c r="J666" s="14"/>
      <c r="K666" s="10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7"/>
      <c r="B667" s="8"/>
      <c r="C667" s="8"/>
      <c r="D667" s="8"/>
      <c r="E667" s="8"/>
      <c r="F667" s="8"/>
      <c r="G667" s="8"/>
      <c r="H667" s="8"/>
      <c r="I667" s="9"/>
      <c r="J667" s="9"/>
      <c r="K667" s="10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7"/>
      <c r="B668" s="8"/>
      <c r="C668" s="8"/>
      <c r="D668" s="8"/>
      <c r="E668" s="8"/>
      <c r="F668" s="8"/>
      <c r="G668" s="8"/>
      <c r="H668" s="8"/>
      <c r="I668" s="9"/>
      <c r="J668" s="9"/>
      <c r="K668" s="10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7"/>
      <c r="B669" s="8"/>
      <c r="C669" s="8"/>
      <c r="D669" s="8"/>
      <c r="E669" s="8"/>
      <c r="F669" s="8"/>
      <c r="G669" s="8"/>
      <c r="H669" s="8"/>
      <c r="I669" s="9"/>
      <c r="J669" s="9"/>
      <c r="K669" s="10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7"/>
      <c r="B670" s="8"/>
      <c r="C670" s="8"/>
      <c r="D670" s="8"/>
      <c r="E670" s="8"/>
      <c r="F670" s="8"/>
      <c r="G670" s="8"/>
      <c r="H670" s="8"/>
      <c r="I670" s="9"/>
      <c r="J670" s="9"/>
      <c r="K670" s="10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7"/>
      <c r="B671" s="8"/>
      <c r="C671" s="8"/>
      <c r="D671" s="8"/>
      <c r="E671" s="8"/>
      <c r="F671" s="8"/>
      <c r="G671" s="8"/>
      <c r="H671" s="8"/>
      <c r="I671" s="9"/>
      <c r="J671" s="9"/>
      <c r="K671" s="10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7"/>
      <c r="B672" s="8"/>
      <c r="C672" s="8"/>
      <c r="D672" s="8"/>
      <c r="E672" s="8"/>
      <c r="F672" s="8"/>
      <c r="G672" s="8"/>
      <c r="H672" s="8"/>
      <c r="I672" s="9"/>
      <c r="J672" s="9"/>
      <c r="K672" s="10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7"/>
      <c r="B673" s="8"/>
      <c r="C673" s="8"/>
      <c r="D673" s="8"/>
      <c r="E673" s="8"/>
      <c r="F673" s="8"/>
      <c r="G673" s="8"/>
      <c r="H673" s="8"/>
      <c r="I673" s="9"/>
      <c r="J673" s="9"/>
      <c r="K673" s="10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7"/>
      <c r="B674" s="8"/>
      <c r="C674" s="8"/>
      <c r="D674" s="8"/>
      <c r="E674" s="8"/>
      <c r="F674" s="8"/>
      <c r="G674" s="8"/>
      <c r="H674" s="8"/>
      <c r="I674" s="9"/>
      <c r="J674" s="9"/>
      <c r="K674" s="10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7"/>
      <c r="B675" s="8"/>
      <c r="C675" s="8"/>
      <c r="D675" s="8"/>
      <c r="E675" s="8"/>
      <c r="F675" s="8"/>
      <c r="G675" s="8"/>
      <c r="H675" s="8"/>
      <c r="I675" s="9"/>
      <c r="J675" s="9"/>
      <c r="K675" s="10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7"/>
      <c r="B676" s="8"/>
      <c r="C676" s="8"/>
      <c r="D676" s="8"/>
      <c r="E676" s="8"/>
      <c r="F676" s="8"/>
      <c r="G676" s="8"/>
      <c r="H676" s="8"/>
      <c r="I676" s="9"/>
      <c r="J676" s="9"/>
      <c r="K676" s="10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7"/>
      <c r="B677" s="8"/>
      <c r="C677" s="8"/>
      <c r="D677" s="8"/>
      <c r="E677" s="8"/>
      <c r="F677" s="8"/>
      <c r="G677" s="8"/>
      <c r="H677" s="8"/>
      <c r="I677" s="9"/>
      <c r="J677" s="9"/>
      <c r="K677" s="10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7"/>
      <c r="B678" s="8"/>
      <c r="C678" s="8"/>
      <c r="D678" s="8"/>
      <c r="E678" s="8"/>
      <c r="F678" s="8"/>
      <c r="G678" s="8"/>
      <c r="H678" s="8"/>
      <c r="I678" s="9"/>
      <c r="J678" s="9"/>
      <c r="K678" s="10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7"/>
      <c r="B679" s="8"/>
      <c r="C679" s="8"/>
      <c r="D679" s="8"/>
      <c r="E679" s="8"/>
      <c r="F679" s="8"/>
      <c r="G679" s="8"/>
      <c r="H679" s="8"/>
      <c r="I679" s="9"/>
      <c r="J679" s="9"/>
      <c r="K679" s="10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7"/>
      <c r="B680" s="8"/>
      <c r="C680" s="8"/>
      <c r="D680" s="8"/>
      <c r="E680" s="8"/>
      <c r="F680" s="8"/>
      <c r="G680" s="8"/>
      <c r="H680" s="8"/>
      <c r="I680" s="9"/>
      <c r="J680" s="9"/>
      <c r="K680" s="10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7"/>
      <c r="B681" s="8"/>
      <c r="C681" s="8"/>
      <c r="D681" s="8"/>
      <c r="E681" s="8"/>
      <c r="F681" s="8"/>
      <c r="G681" s="8"/>
      <c r="H681" s="8"/>
      <c r="I681" s="9"/>
      <c r="J681" s="9"/>
      <c r="K681" s="10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7"/>
      <c r="B682" s="8"/>
      <c r="C682" s="8"/>
      <c r="D682" s="8"/>
      <c r="E682" s="8"/>
      <c r="F682" s="8"/>
      <c r="G682" s="8"/>
      <c r="H682" s="8"/>
      <c r="I682" s="9"/>
      <c r="J682" s="9"/>
      <c r="K682" s="10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7"/>
      <c r="B683" s="8"/>
      <c r="C683" s="8"/>
      <c r="D683" s="8"/>
      <c r="E683" s="8"/>
      <c r="F683" s="8"/>
      <c r="G683" s="8"/>
      <c r="H683" s="8"/>
      <c r="I683" s="9"/>
      <c r="J683" s="9"/>
      <c r="K683" s="10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7"/>
      <c r="B684" s="8"/>
      <c r="C684" s="8"/>
      <c r="D684" s="8"/>
      <c r="E684" s="8"/>
      <c r="F684" s="8"/>
      <c r="G684" s="8"/>
      <c r="H684" s="8"/>
      <c r="I684" s="9"/>
      <c r="J684" s="9"/>
      <c r="K684" s="10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7"/>
      <c r="B685" s="8"/>
      <c r="C685" s="8"/>
      <c r="D685" s="8"/>
      <c r="E685" s="8"/>
      <c r="F685" s="8"/>
      <c r="G685" s="8"/>
      <c r="H685" s="8"/>
      <c r="I685" s="9"/>
      <c r="J685" s="9"/>
      <c r="K685" s="10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7"/>
      <c r="B686" s="8"/>
      <c r="C686" s="8"/>
      <c r="D686" s="8"/>
      <c r="E686" s="8"/>
      <c r="F686" s="8"/>
      <c r="G686" s="8"/>
      <c r="H686" s="8"/>
      <c r="I686" s="9"/>
      <c r="J686" s="9"/>
      <c r="K686" s="10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7"/>
      <c r="B687" s="8"/>
      <c r="C687" s="8"/>
      <c r="D687" s="8"/>
      <c r="E687" s="8"/>
      <c r="F687" s="8"/>
      <c r="G687" s="8"/>
      <c r="H687" s="8"/>
      <c r="I687" s="9"/>
      <c r="J687" s="9"/>
      <c r="K687" s="10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7"/>
      <c r="B688" s="8"/>
      <c r="C688" s="8"/>
      <c r="D688" s="8"/>
      <c r="E688" s="8"/>
      <c r="F688" s="8"/>
      <c r="G688" s="8"/>
      <c r="H688" s="8"/>
      <c r="I688" s="9"/>
      <c r="J688" s="9"/>
      <c r="K688" s="10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7"/>
      <c r="B689" s="8"/>
      <c r="C689" s="8"/>
      <c r="D689" s="8"/>
      <c r="E689" s="8"/>
      <c r="F689" s="8"/>
      <c r="G689" s="8"/>
      <c r="H689" s="8"/>
      <c r="I689" s="9"/>
      <c r="J689" s="9"/>
      <c r="K689" s="10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7"/>
      <c r="B690" s="8"/>
      <c r="C690" s="8"/>
      <c r="D690" s="8"/>
      <c r="E690" s="8"/>
      <c r="F690" s="8"/>
      <c r="G690" s="8"/>
      <c r="H690" s="8"/>
      <c r="I690" s="9"/>
      <c r="J690" s="9"/>
      <c r="K690" s="10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7"/>
      <c r="B691" s="8"/>
      <c r="C691" s="8"/>
      <c r="D691" s="8"/>
      <c r="E691" s="8"/>
      <c r="F691" s="8"/>
      <c r="G691" s="8"/>
      <c r="H691" s="8"/>
      <c r="I691" s="9"/>
      <c r="J691" s="9"/>
      <c r="K691" s="10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7"/>
      <c r="B692" s="8"/>
      <c r="C692" s="8"/>
      <c r="D692" s="8"/>
      <c r="E692" s="8"/>
      <c r="F692" s="8"/>
      <c r="G692" s="8"/>
      <c r="H692" s="8"/>
      <c r="I692" s="9"/>
      <c r="J692" s="9"/>
      <c r="K692" s="10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7"/>
      <c r="B693" s="8"/>
      <c r="C693" s="8"/>
      <c r="D693" s="8"/>
      <c r="E693" s="8"/>
      <c r="F693" s="8"/>
      <c r="G693" s="8"/>
      <c r="H693" s="8"/>
      <c r="I693" s="9"/>
      <c r="J693" s="9"/>
      <c r="K693" s="10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7"/>
      <c r="B694" s="8"/>
      <c r="C694" s="8"/>
      <c r="D694" s="8"/>
      <c r="E694" s="8"/>
      <c r="F694" s="8"/>
      <c r="G694" s="8"/>
      <c r="H694" s="8"/>
      <c r="I694" s="9"/>
      <c r="J694" s="9"/>
      <c r="K694" s="10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7"/>
      <c r="B695" s="8"/>
      <c r="C695" s="8"/>
      <c r="D695" s="8"/>
      <c r="E695" s="8"/>
      <c r="F695" s="8"/>
      <c r="G695" s="8"/>
      <c r="H695" s="8"/>
      <c r="I695" s="9"/>
      <c r="J695" s="9"/>
      <c r="K695" s="10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7"/>
      <c r="B696" s="8"/>
      <c r="C696" s="8"/>
      <c r="D696" s="8"/>
      <c r="E696" s="8"/>
      <c r="F696" s="8"/>
      <c r="G696" s="8"/>
      <c r="H696" s="8"/>
      <c r="I696" s="9"/>
      <c r="J696" s="9"/>
      <c r="K696" s="10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7"/>
      <c r="B697" s="8"/>
      <c r="C697" s="8"/>
      <c r="D697" s="8"/>
      <c r="E697" s="8"/>
      <c r="F697" s="8"/>
      <c r="G697" s="8"/>
      <c r="H697" s="8"/>
      <c r="I697" s="9"/>
      <c r="J697" s="9"/>
      <c r="K697" s="10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7"/>
      <c r="B698" s="8"/>
      <c r="C698" s="8"/>
      <c r="D698" s="8"/>
      <c r="E698" s="8"/>
      <c r="F698" s="8"/>
      <c r="G698" s="8"/>
      <c r="H698" s="8"/>
      <c r="I698" s="9"/>
      <c r="J698" s="9"/>
      <c r="K698" s="10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7"/>
      <c r="B699" s="8"/>
      <c r="C699" s="8"/>
      <c r="D699" s="8"/>
      <c r="E699" s="8"/>
      <c r="F699" s="8"/>
      <c r="G699" s="8"/>
      <c r="H699" s="8"/>
      <c r="I699" s="9"/>
      <c r="J699" s="9"/>
      <c r="K699" s="10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7"/>
      <c r="B700" s="8"/>
      <c r="C700" s="8"/>
      <c r="D700" s="8"/>
      <c r="E700" s="8"/>
      <c r="F700" s="8"/>
      <c r="G700" s="8"/>
      <c r="H700" s="8"/>
      <c r="I700" s="9"/>
      <c r="J700" s="9"/>
      <c r="K700" s="10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7"/>
      <c r="B701" s="8"/>
      <c r="C701" s="8"/>
      <c r="D701" s="8"/>
      <c r="E701" s="8"/>
      <c r="F701" s="8"/>
      <c r="G701" s="8"/>
      <c r="H701" s="8"/>
      <c r="I701" s="9"/>
      <c r="J701" s="9"/>
      <c r="K701" s="10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7"/>
      <c r="B702" s="8"/>
      <c r="C702" s="8"/>
      <c r="D702" s="8"/>
      <c r="E702" s="8"/>
      <c r="F702" s="8"/>
      <c r="G702" s="8"/>
      <c r="H702" s="8"/>
      <c r="I702" s="9"/>
      <c r="J702" s="9"/>
      <c r="K702" s="10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7"/>
      <c r="B703" s="8"/>
      <c r="C703" s="8"/>
      <c r="D703" s="8"/>
      <c r="E703" s="8"/>
      <c r="F703" s="8"/>
      <c r="G703" s="8"/>
      <c r="H703" s="8"/>
      <c r="I703" s="9"/>
      <c r="J703" s="9"/>
      <c r="K703" s="10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7"/>
      <c r="B704" s="8"/>
      <c r="C704" s="8"/>
      <c r="D704" s="8"/>
      <c r="E704" s="8"/>
      <c r="F704" s="8"/>
      <c r="G704" s="8"/>
      <c r="H704" s="8"/>
      <c r="I704" s="9"/>
      <c r="J704" s="9"/>
      <c r="K704" s="10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11"/>
      <c r="B705" s="12"/>
      <c r="C705" s="12"/>
      <c r="D705" s="12"/>
      <c r="E705" s="12"/>
      <c r="F705" s="12"/>
      <c r="G705" s="12"/>
      <c r="H705" s="12"/>
      <c r="I705" s="13"/>
      <c r="J705" s="13"/>
      <c r="K705" s="10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7"/>
      <c r="B706" s="8"/>
      <c r="C706" s="8"/>
      <c r="D706" s="8"/>
      <c r="E706" s="8"/>
      <c r="F706" s="8"/>
      <c r="G706" s="8"/>
      <c r="H706" s="8"/>
      <c r="I706" s="9"/>
      <c r="J706" s="9"/>
      <c r="K706" s="10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7"/>
      <c r="B707" s="8"/>
      <c r="C707" s="8"/>
      <c r="D707" s="8"/>
      <c r="E707" s="8"/>
      <c r="F707" s="8"/>
      <c r="G707" s="8"/>
      <c r="H707" s="8"/>
      <c r="I707" s="9"/>
      <c r="J707" s="9"/>
      <c r="K707" s="10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7"/>
      <c r="B708" s="8"/>
      <c r="C708" s="8"/>
      <c r="D708" s="8"/>
      <c r="E708" s="8"/>
      <c r="F708" s="8"/>
      <c r="G708" s="8"/>
      <c r="H708" s="8"/>
      <c r="I708" s="9"/>
      <c r="J708" s="9"/>
      <c r="K708" s="10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7"/>
      <c r="B709" s="8"/>
      <c r="C709" s="8"/>
      <c r="D709" s="8"/>
      <c r="E709" s="8"/>
      <c r="F709" s="8"/>
      <c r="G709" s="8"/>
      <c r="H709" s="8"/>
      <c r="I709" s="9"/>
      <c r="J709" s="9"/>
      <c r="K709" s="10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7"/>
      <c r="B710" s="8"/>
      <c r="C710" s="8"/>
      <c r="D710" s="8"/>
      <c r="E710" s="8"/>
      <c r="F710" s="8"/>
      <c r="G710" s="8"/>
      <c r="H710" s="8"/>
      <c r="I710" s="9"/>
      <c r="J710" s="9"/>
      <c r="K710" s="10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11"/>
      <c r="B711" s="12"/>
      <c r="C711" s="12"/>
      <c r="D711" s="12"/>
      <c r="E711" s="12"/>
      <c r="F711" s="12"/>
      <c r="G711" s="12"/>
      <c r="H711" s="12"/>
      <c r="I711" s="14"/>
      <c r="J711" s="14"/>
      <c r="K711" s="10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7"/>
      <c r="B712" s="8"/>
      <c r="C712" s="8"/>
      <c r="D712" s="8"/>
      <c r="E712" s="8"/>
      <c r="F712" s="8"/>
      <c r="G712" s="8"/>
      <c r="H712" s="8"/>
      <c r="I712" s="9"/>
      <c r="J712" s="9"/>
      <c r="K712" s="10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7"/>
      <c r="B713" s="8"/>
      <c r="C713" s="8"/>
      <c r="D713" s="8"/>
      <c r="E713" s="8"/>
      <c r="F713" s="8"/>
      <c r="G713" s="8"/>
      <c r="H713" s="8"/>
      <c r="I713" s="9"/>
      <c r="J713" s="9"/>
      <c r="K713" s="10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7"/>
      <c r="B714" s="8"/>
      <c r="C714" s="8"/>
      <c r="D714" s="8"/>
      <c r="E714" s="8"/>
      <c r="F714" s="8"/>
      <c r="G714" s="8"/>
      <c r="H714" s="8"/>
      <c r="I714" s="9"/>
      <c r="J714" s="9"/>
      <c r="K714" s="10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7"/>
      <c r="B715" s="8"/>
      <c r="C715" s="8"/>
      <c r="D715" s="8"/>
      <c r="E715" s="8"/>
      <c r="F715" s="8"/>
      <c r="G715" s="8"/>
      <c r="H715" s="8"/>
      <c r="I715" s="9"/>
      <c r="J715" s="9"/>
      <c r="K715" s="10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7"/>
      <c r="B716" s="8"/>
      <c r="C716" s="8"/>
      <c r="D716" s="8"/>
      <c r="E716" s="8"/>
      <c r="F716" s="8"/>
      <c r="G716" s="8"/>
      <c r="H716" s="8"/>
      <c r="I716" s="9"/>
      <c r="J716" s="9"/>
      <c r="K716" s="10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7"/>
      <c r="B717" s="8"/>
      <c r="C717" s="8"/>
      <c r="D717" s="8"/>
      <c r="E717" s="8"/>
      <c r="F717" s="8"/>
      <c r="G717" s="8"/>
      <c r="H717" s="8"/>
      <c r="I717" s="9"/>
      <c r="J717" s="9"/>
      <c r="K717" s="10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7"/>
      <c r="B718" s="8"/>
      <c r="C718" s="8"/>
      <c r="D718" s="8"/>
      <c r="E718" s="8"/>
      <c r="F718" s="8"/>
      <c r="G718" s="8"/>
      <c r="H718" s="8"/>
      <c r="I718" s="9"/>
      <c r="J718" s="9"/>
      <c r="K718" s="10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7"/>
      <c r="B719" s="8"/>
      <c r="C719" s="8"/>
      <c r="D719" s="8"/>
      <c r="E719" s="8"/>
      <c r="F719" s="8"/>
      <c r="G719" s="8"/>
      <c r="H719" s="8"/>
      <c r="I719" s="9"/>
      <c r="J719" s="9"/>
      <c r="K719" s="10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7"/>
      <c r="B720" s="8"/>
      <c r="C720" s="8"/>
      <c r="D720" s="8"/>
      <c r="E720" s="8"/>
      <c r="F720" s="8"/>
      <c r="G720" s="8"/>
      <c r="H720" s="8"/>
      <c r="I720" s="9"/>
      <c r="J720" s="9"/>
      <c r="K720" s="10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7"/>
      <c r="B721" s="8"/>
      <c r="C721" s="8"/>
      <c r="D721" s="8"/>
      <c r="E721" s="8"/>
      <c r="F721" s="8"/>
      <c r="G721" s="8"/>
      <c r="H721" s="8"/>
      <c r="I721" s="9"/>
      <c r="J721" s="9"/>
      <c r="K721" s="10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7"/>
      <c r="B722" s="8"/>
      <c r="C722" s="8"/>
      <c r="D722" s="8"/>
      <c r="E722" s="8"/>
      <c r="F722" s="8"/>
      <c r="G722" s="8"/>
      <c r="H722" s="8"/>
      <c r="I722" s="9"/>
      <c r="J722" s="9"/>
      <c r="K722" s="1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7"/>
      <c r="B723" s="8"/>
      <c r="C723" s="8"/>
      <c r="D723" s="8"/>
      <c r="E723" s="8"/>
      <c r="F723" s="8"/>
      <c r="G723" s="8"/>
      <c r="H723" s="8"/>
      <c r="I723" s="9"/>
      <c r="J723" s="9"/>
      <c r="K723" s="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7"/>
      <c r="B724" s="8"/>
      <c r="C724" s="8"/>
      <c r="D724" s="8"/>
      <c r="E724" s="8"/>
      <c r="F724" s="8"/>
      <c r="G724" s="8"/>
      <c r="H724" s="8"/>
      <c r="I724" s="9"/>
      <c r="J724" s="9"/>
      <c r="K724" s="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7"/>
      <c r="B725" s="8"/>
      <c r="C725" s="8"/>
      <c r="D725" s="8"/>
      <c r="E725" s="8"/>
      <c r="F725" s="8"/>
      <c r="G725" s="8"/>
      <c r="H725" s="8"/>
      <c r="I725" s="9"/>
      <c r="J725" s="9"/>
      <c r="K725" s="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7"/>
      <c r="B726" s="8"/>
      <c r="C726" s="8"/>
      <c r="D726" s="8"/>
      <c r="E726" s="8"/>
      <c r="F726" s="8"/>
      <c r="G726" s="8"/>
      <c r="H726" s="8"/>
      <c r="I726" s="9"/>
      <c r="J726" s="9"/>
      <c r="K726" s="1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7"/>
      <c r="B727" s="8"/>
      <c r="C727" s="8"/>
      <c r="D727" s="8"/>
      <c r="E727" s="8"/>
      <c r="F727" s="8"/>
      <c r="G727" s="8"/>
      <c r="H727" s="8"/>
      <c r="I727" s="9"/>
      <c r="J727" s="9"/>
      <c r="K727" s="1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7"/>
      <c r="B728" s="8"/>
      <c r="C728" s="8"/>
      <c r="D728" s="8"/>
      <c r="E728" s="8"/>
      <c r="F728" s="8"/>
      <c r="G728" s="8"/>
      <c r="H728" s="8"/>
      <c r="I728" s="9"/>
      <c r="J728" s="9"/>
      <c r="K728" s="1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7"/>
      <c r="B729" s="8"/>
      <c r="C729" s="8"/>
      <c r="D729" s="8"/>
      <c r="E729" s="8"/>
      <c r="F729" s="8"/>
      <c r="G729" s="8"/>
      <c r="H729" s="8"/>
      <c r="I729" s="9"/>
      <c r="J729" s="9"/>
      <c r="K729" s="1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7"/>
      <c r="B730" s="8"/>
      <c r="C730" s="8"/>
      <c r="D730" s="8"/>
      <c r="E730" s="8"/>
      <c r="F730" s="8"/>
      <c r="G730" s="8"/>
      <c r="H730" s="8"/>
      <c r="I730" s="9"/>
      <c r="J730" s="9"/>
      <c r="K730" s="1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7"/>
      <c r="B731" s="8"/>
      <c r="C731" s="8"/>
      <c r="D731" s="8"/>
      <c r="E731" s="8"/>
      <c r="F731" s="8"/>
      <c r="G731" s="8"/>
      <c r="H731" s="8"/>
      <c r="I731" s="9"/>
      <c r="J731" s="9"/>
      <c r="K731" s="1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7"/>
      <c r="B732" s="8"/>
      <c r="C732" s="8"/>
      <c r="D732" s="8"/>
      <c r="E732" s="8"/>
      <c r="F732" s="8"/>
      <c r="G732" s="8"/>
      <c r="H732" s="8"/>
      <c r="I732" s="9"/>
      <c r="J732" s="9"/>
      <c r="K732" s="1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7"/>
      <c r="B733" s="8"/>
      <c r="C733" s="8"/>
      <c r="D733" s="8"/>
      <c r="E733" s="8"/>
      <c r="F733" s="8"/>
      <c r="G733" s="8"/>
      <c r="H733" s="8"/>
      <c r="I733" s="9"/>
      <c r="J733" s="9"/>
      <c r="K733" s="1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7"/>
      <c r="B734" s="8"/>
      <c r="C734" s="8"/>
      <c r="D734" s="8"/>
      <c r="E734" s="8"/>
      <c r="F734" s="8"/>
      <c r="G734" s="8"/>
      <c r="H734" s="8"/>
      <c r="I734" s="9"/>
      <c r="J734" s="9"/>
      <c r="K734" s="1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11"/>
      <c r="B735" s="12"/>
      <c r="C735" s="12"/>
      <c r="D735" s="12"/>
      <c r="E735" s="12"/>
      <c r="F735" s="12"/>
      <c r="G735" s="12"/>
      <c r="H735" s="12"/>
      <c r="I735" s="13"/>
      <c r="J735" s="13"/>
      <c r="K735" s="1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7"/>
      <c r="B736" s="8"/>
      <c r="C736" s="8"/>
      <c r="D736" s="8"/>
      <c r="E736" s="8"/>
      <c r="F736" s="8"/>
      <c r="G736" s="8"/>
      <c r="H736" s="8"/>
      <c r="I736" s="9"/>
      <c r="J736" s="9"/>
      <c r="K736" s="1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7"/>
      <c r="B737" s="8"/>
      <c r="C737" s="8"/>
      <c r="D737" s="8"/>
      <c r="E737" s="8"/>
      <c r="F737" s="8"/>
      <c r="G737" s="8"/>
      <c r="H737" s="8"/>
      <c r="I737" s="9"/>
      <c r="J737" s="9"/>
      <c r="K737" s="1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7"/>
      <c r="B738" s="8"/>
      <c r="C738" s="8"/>
      <c r="D738" s="8"/>
      <c r="E738" s="8"/>
      <c r="F738" s="8"/>
      <c r="G738" s="8"/>
      <c r="H738" s="8"/>
      <c r="I738" s="9"/>
      <c r="J738" s="9"/>
      <c r="K738" s="10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7"/>
      <c r="B739" s="8"/>
      <c r="C739" s="8"/>
      <c r="D739" s="8"/>
      <c r="E739" s="8"/>
      <c r="F739" s="8"/>
      <c r="G739" s="8"/>
      <c r="H739" s="8"/>
      <c r="I739" s="9"/>
      <c r="J739" s="9"/>
      <c r="K739" s="10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7"/>
      <c r="B740" s="8"/>
      <c r="C740" s="8"/>
      <c r="D740" s="8"/>
      <c r="E740" s="8"/>
      <c r="F740" s="8"/>
      <c r="G740" s="8"/>
      <c r="H740" s="8"/>
      <c r="I740" s="9"/>
      <c r="J740" s="9"/>
      <c r="K740" s="10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7"/>
      <c r="B741" s="8"/>
      <c r="C741" s="8"/>
      <c r="D741" s="8"/>
      <c r="E741" s="8"/>
      <c r="F741" s="8"/>
      <c r="G741" s="8"/>
      <c r="H741" s="8"/>
      <c r="I741" s="9"/>
      <c r="J741" s="9"/>
      <c r="K741" s="10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7"/>
      <c r="B742" s="8"/>
      <c r="C742" s="8"/>
      <c r="D742" s="8"/>
      <c r="E742" s="8"/>
      <c r="F742" s="8"/>
      <c r="G742" s="8"/>
      <c r="H742" s="8"/>
      <c r="I742" s="9"/>
      <c r="J742" s="9"/>
      <c r="K742" s="10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7"/>
      <c r="B743" s="8"/>
      <c r="C743" s="8"/>
      <c r="D743" s="8"/>
      <c r="E743" s="8"/>
      <c r="F743" s="8"/>
      <c r="G743" s="8"/>
      <c r="H743" s="8"/>
      <c r="I743" s="9"/>
      <c r="J743" s="9"/>
      <c r="K743" s="10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7"/>
      <c r="B744" s="8"/>
      <c r="C744" s="8"/>
      <c r="D744" s="8"/>
      <c r="E744" s="8"/>
      <c r="F744" s="8"/>
      <c r="G744" s="8"/>
      <c r="H744" s="8"/>
      <c r="I744" s="9"/>
      <c r="J744" s="9"/>
      <c r="K744" s="10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7"/>
      <c r="B745" s="8"/>
      <c r="C745" s="8"/>
      <c r="D745" s="8"/>
      <c r="E745" s="8"/>
      <c r="F745" s="8"/>
      <c r="G745" s="8"/>
      <c r="H745" s="8"/>
      <c r="I745" s="9"/>
      <c r="J745" s="9"/>
      <c r="K745" s="10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7"/>
      <c r="B746" s="8"/>
      <c r="C746" s="8"/>
      <c r="D746" s="8"/>
      <c r="E746" s="8"/>
      <c r="F746" s="8"/>
      <c r="G746" s="8"/>
      <c r="H746" s="8"/>
      <c r="I746" s="9"/>
      <c r="J746" s="9"/>
      <c r="K746" s="10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7"/>
      <c r="B747" s="8"/>
      <c r="C747" s="8"/>
      <c r="D747" s="8"/>
      <c r="E747" s="8"/>
      <c r="F747" s="8"/>
      <c r="G747" s="8"/>
      <c r="H747" s="8"/>
      <c r="I747" s="9"/>
      <c r="J747" s="9"/>
      <c r="K747" s="10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7"/>
      <c r="B748" s="8"/>
      <c r="C748" s="8"/>
      <c r="D748" s="8"/>
      <c r="E748" s="8"/>
      <c r="F748" s="8"/>
      <c r="G748" s="8"/>
      <c r="H748" s="8"/>
      <c r="I748" s="9"/>
      <c r="J748" s="9"/>
      <c r="K748" s="10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7"/>
      <c r="B749" s="8"/>
      <c r="C749" s="8"/>
      <c r="D749" s="8"/>
      <c r="E749" s="8"/>
      <c r="F749" s="8"/>
      <c r="G749" s="8"/>
      <c r="H749" s="8"/>
      <c r="I749" s="9"/>
      <c r="J749" s="9"/>
      <c r="K749" s="10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7"/>
      <c r="B750" s="8"/>
      <c r="C750" s="8"/>
      <c r="D750" s="8"/>
      <c r="E750" s="8"/>
      <c r="F750" s="8"/>
      <c r="G750" s="8"/>
      <c r="H750" s="8"/>
      <c r="I750" s="9"/>
      <c r="J750" s="9"/>
      <c r="K750" s="10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7"/>
      <c r="B751" s="8"/>
      <c r="C751" s="8"/>
      <c r="D751" s="8"/>
      <c r="E751" s="8"/>
      <c r="F751" s="8"/>
      <c r="G751" s="8"/>
      <c r="H751" s="8"/>
      <c r="I751" s="9"/>
      <c r="J751" s="9"/>
      <c r="K751" s="10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7"/>
      <c r="B752" s="8"/>
      <c r="C752" s="8"/>
      <c r="D752" s="8"/>
      <c r="E752" s="8"/>
      <c r="F752" s="8"/>
      <c r="G752" s="8"/>
      <c r="H752" s="8"/>
      <c r="I752" s="9"/>
      <c r="J752" s="9"/>
      <c r="K752" s="10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7"/>
      <c r="B753" s="8"/>
      <c r="C753" s="8"/>
      <c r="D753" s="8"/>
      <c r="E753" s="8"/>
      <c r="F753" s="8"/>
      <c r="G753" s="8"/>
      <c r="H753" s="8"/>
      <c r="I753" s="9"/>
      <c r="J753" s="9"/>
      <c r="K753" s="10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7"/>
      <c r="B754" s="8"/>
      <c r="C754" s="8"/>
      <c r="D754" s="8"/>
      <c r="E754" s="8"/>
      <c r="F754" s="8"/>
      <c r="G754" s="8"/>
      <c r="H754" s="8"/>
      <c r="I754" s="9"/>
      <c r="J754" s="9"/>
      <c r="K754" s="10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7"/>
      <c r="B755" s="8"/>
      <c r="C755" s="8"/>
      <c r="D755" s="8"/>
      <c r="E755" s="8"/>
      <c r="F755" s="8"/>
      <c r="G755" s="8"/>
      <c r="H755" s="8"/>
      <c r="I755" s="9"/>
      <c r="J755" s="9"/>
      <c r="K755" s="10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7"/>
      <c r="B756" s="8"/>
      <c r="C756" s="8"/>
      <c r="D756" s="8"/>
      <c r="E756" s="8"/>
      <c r="F756" s="8"/>
      <c r="G756" s="8"/>
      <c r="H756" s="8"/>
      <c r="I756" s="9"/>
      <c r="J756" s="9"/>
      <c r="K756" s="10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7"/>
      <c r="B757" s="8"/>
      <c r="C757" s="8"/>
      <c r="D757" s="8"/>
      <c r="E757" s="8"/>
      <c r="F757" s="8"/>
      <c r="G757" s="8"/>
      <c r="H757" s="8"/>
      <c r="I757" s="9"/>
      <c r="J757" s="9"/>
      <c r="K757" s="10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7"/>
      <c r="B758" s="8"/>
      <c r="C758" s="8"/>
      <c r="D758" s="8"/>
      <c r="E758" s="8"/>
      <c r="F758" s="8"/>
      <c r="G758" s="8"/>
      <c r="H758" s="8"/>
      <c r="I758" s="9"/>
      <c r="J758" s="9"/>
      <c r="K758" s="10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7"/>
      <c r="B759" s="8"/>
      <c r="C759" s="8"/>
      <c r="D759" s="8"/>
      <c r="E759" s="8"/>
      <c r="F759" s="8"/>
      <c r="G759" s="8"/>
      <c r="H759" s="8"/>
      <c r="I759" s="9"/>
      <c r="J759" s="9"/>
      <c r="K759" s="10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7"/>
      <c r="B760" s="8"/>
      <c r="C760" s="8"/>
      <c r="D760" s="8"/>
      <c r="E760" s="8"/>
      <c r="F760" s="8"/>
      <c r="G760" s="8"/>
      <c r="H760" s="8"/>
      <c r="I760" s="9"/>
      <c r="J760" s="9"/>
      <c r="K760" s="10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7"/>
      <c r="B761" s="8"/>
      <c r="C761" s="8"/>
      <c r="D761" s="8"/>
      <c r="E761" s="8"/>
      <c r="F761" s="8"/>
      <c r="G761" s="8"/>
      <c r="H761" s="8"/>
      <c r="I761" s="9"/>
      <c r="J761" s="9"/>
      <c r="K761" s="10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7"/>
      <c r="B762" s="8"/>
      <c r="C762" s="8"/>
      <c r="D762" s="8"/>
      <c r="E762" s="8"/>
      <c r="F762" s="8"/>
      <c r="G762" s="8"/>
      <c r="H762" s="8"/>
      <c r="I762" s="9"/>
      <c r="J762" s="9"/>
      <c r="K762" s="10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7"/>
      <c r="B763" s="8"/>
      <c r="C763" s="8"/>
      <c r="D763" s="8"/>
      <c r="E763" s="8"/>
      <c r="F763" s="8"/>
      <c r="G763" s="8"/>
      <c r="H763" s="8"/>
      <c r="I763" s="9"/>
      <c r="J763" s="9"/>
      <c r="K763" s="10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7"/>
      <c r="B764" s="8"/>
      <c r="C764" s="8"/>
      <c r="D764" s="8"/>
      <c r="E764" s="8"/>
      <c r="F764" s="8"/>
      <c r="G764" s="8"/>
      <c r="H764" s="8"/>
      <c r="I764" s="9"/>
      <c r="J764" s="9"/>
      <c r="K764" s="10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7"/>
      <c r="B765" s="8"/>
      <c r="C765" s="8"/>
      <c r="D765" s="8"/>
      <c r="E765" s="8"/>
      <c r="F765" s="8"/>
      <c r="G765" s="8"/>
      <c r="H765" s="8"/>
      <c r="I765" s="9"/>
      <c r="J765" s="9"/>
      <c r="K765" s="10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7"/>
      <c r="B766" s="8"/>
      <c r="C766" s="8"/>
      <c r="D766" s="8"/>
      <c r="E766" s="8"/>
      <c r="F766" s="8"/>
      <c r="G766" s="8"/>
      <c r="H766" s="8"/>
      <c r="I766" s="9"/>
      <c r="J766" s="9"/>
      <c r="K766" s="10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7"/>
      <c r="B767" s="8"/>
      <c r="C767" s="8"/>
      <c r="D767" s="8"/>
      <c r="E767" s="8"/>
      <c r="F767" s="8"/>
      <c r="G767" s="8"/>
      <c r="H767" s="8"/>
      <c r="I767" s="9"/>
      <c r="J767" s="9"/>
      <c r="K767" s="10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7"/>
      <c r="B768" s="8"/>
      <c r="C768" s="8"/>
      <c r="D768" s="8"/>
      <c r="E768" s="8"/>
      <c r="F768" s="8"/>
      <c r="G768" s="8"/>
      <c r="H768" s="8"/>
      <c r="I768" s="9"/>
      <c r="J768" s="9"/>
      <c r="K768" s="10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7"/>
      <c r="B769" s="8"/>
      <c r="C769" s="8"/>
      <c r="D769" s="8"/>
      <c r="E769" s="8"/>
      <c r="F769" s="8"/>
      <c r="G769" s="8"/>
      <c r="H769" s="8"/>
      <c r="I769" s="9"/>
      <c r="J769" s="9"/>
      <c r="K769" s="10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7"/>
      <c r="B770" s="8"/>
      <c r="C770" s="8"/>
      <c r="D770" s="8"/>
      <c r="E770" s="8"/>
      <c r="F770" s="8"/>
      <c r="G770" s="8"/>
      <c r="H770" s="8"/>
      <c r="I770" s="9"/>
      <c r="J770" s="9"/>
      <c r="K770" s="10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7"/>
      <c r="B771" s="8"/>
      <c r="C771" s="8"/>
      <c r="D771" s="8"/>
      <c r="E771" s="8"/>
      <c r="F771" s="8"/>
      <c r="G771" s="8"/>
      <c r="H771" s="8"/>
      <c r="I771" s="9"/>
      <c r="J771" s="9"/>
      <c r="K771" s="10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7"/>
      <c r="B772" s="8"/>
      <c r="C772" s="8"/>
      <c r="D772" s="8"/>
      <c r="E772" s="8"/>
      <c r="F772" s="8"/>
      <c r="G772" s="8"/>
      <c r="H772" s="8"/>
      <c r="I772" s="9"/>
      <c r="J772" s="9"/>
      <c r="K772" s="10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7"/>
      <c r="B773" s="8"/>
      <c r="C773" s="8"/>
      <c r="D773" s="8"/>
      <c r="E773" s="8"/>
      <c r="F773" s="8"/>
      <c r="G773" s="8"/>
      <c r="H773" s="8"/>
      <c r="I773" s="9"/>
      <c r="J773" s="9"/>
      <c r="K773" s="10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7"/>
      <c r="B774" s="8"/>
      <c r="C774" s="8"/>
      <c r="D774" s="8"/>
      <c r="E774" s="8"/>
      <c r="F774" s="8"/>
      <c r="G774" s="8"/>
      <c r="H774" s="8"/>
      <c r="I774" s="9"/>
      <c r="J774" s="9"/>
      <c r="K774" s="10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7"/>
      <c r="B775" s="8"/>
      <c r="C775" s="8"/>
      <c r="D775" s="8"/>
      <c r="E775" s="8"/>
      <c r="F775" s="8"/>
      <c r="G775" s="8"/>
      <c r="H775" s="8"/>
      <c r="I775" s="9"/>
      <c r="J775" s="9"/>
      <c r="K775" s="10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7"/>
      <c r="B776" s="8"/>
      <c r="C776" s="8"/>
      <c r="D776" s="8"/>
      <c r="E776" s="8"/>
      <c r="F776" s="8"/>
      <c r="G776" s="8"/>
      <c r="H776" s="8"/>
      <c r="I776" s="9"/>
      <c r="J776" s="9"/>
      <c r="K776" s="10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7"/>
      <c r="B777" s="8"/>
      <c r="C777" s="8"/>
      <c r="D777" s="8"/>
      <c r="E777" s="8"/>
      <c r="F777" s="8"/>
      <c r="G777" s="8"/>
      <c r="H777" s="8"/>
      <c r="I777" s="9"/>
      <c r="J777" s="9"/>
      <c r="K777" s="10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7"/>
      <c r="B778" s="8"/>
      <c r="C778" s="8"/>
      <c r="D778" s="8"/>
      <c r="E778" s="8"/>
      <c r="F778" s="8"/>
      <c r="G778" s="8"/>
      <c r="H778" s="8"/>
      <c r="I778" s="9"/>
      <c r="J778" s="9"/>
      <c r="K778" s="10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7"/>
      <c r="B779" s="8"/>
      <c r="C779" s="8"/>
      <c r="D779" s="8"/>
      <c r="E779" s="8"/>
      <c r="F779" s="8"/>
      <c r="G779" s="8"/>
      <c r="H779" s="8"/>
      <c r="I779" s="9"/>
      <c r="J779" s="9"/>
      <c r="K779" s="10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7"/>
      <c r="B780" s="8"/>
      <c r="C780" s="8"/>
      <c r="D780" s="8"/>
      <c r="E780" s="8"/>
      <c r="F780" s="8"/>
      <c r="G780" s="8"/>
      <c r="H780" s="8"/>
      <c r="I780" s="9"/>
      <c r="J780" s="9"/>
      <c r="K780" s="10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7"/>
      <c r="B781" s="8"/>
      <c r="C781" s="8"/>
      <c r="D781" s="8"/>
      <c r="E781" s="8"/>
      <c r="F781" s="8"/>
      <c r="G781" s="8"/>
      <c r="H781" s="8"/>
      <c r="I781" s="9"/>
      <c r="J781" s="9"/>
      <c r="K781" s="10"/>
      <c r="L781" s="15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7"/>
      <c r="B782" s="8"/>
      <c r="C782" s="8"/>
      <c r="D782" s="8"/>
      <c r="E782" s="8"/>
      <c r="F782" s="8"/>
      <c r="G782" s="8"/>
      <c r="H782" s="8"/>
      <c r="I782" s="9"/>
      <c r="J782" s="9"/>
      <c r="K782" s="10"/>
      <c r="L782" s="15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7"/>
      <c r="B783" s="8"/>
      <c r="C783" s="8"/>
      <c r="D783" s="8"/>
      <c r="E783" s="8"/>
      <c r="F783" s="8"/>
      <c r="G783" s="8"/>
      <c r="H783" s="8"/>
      <c r="I783" s="9"/>
      <c r="J783" s="9"/>
      <c r="K783" s="10"/>
      <c r="L783" s="15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7"/>
      <c r="B784" s="8"/>
      <c r="C784" s="8"/>
      <c r="D784" s="8"/>
      <c r="E784" s="8"/>
      <c r="F784" s="8"/>
      <c r="G784" s="8"/>
      <c r="H784" s="8"/>
      <c r="I784" s="9"/>
      <c r="J784" s="9"/>
      <c r="K784" s="10"/>
      <c r="L784" s="15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7"/>
      <c r="B785" s="8"/>
      <c r="C785" s="8"/>
      <c r="D785" s="8"/>
      <c r="E785" s="8"/>
      <c r="F785" s="8"/>
      <c r="G785" s="8"/>
      <c r="H785" s="8"/>
      <c r="I785" s="9"/>
      <c r="J785" s="9"/>
      <c r="K785" s="10"/>
      <c r="L785" s="15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7"/>
      <c r="B786" s="8"/>
      <c r="C786" s="8"/>
      <c r="D786" s="8"/>
      <c r="E786" s="8"/>
      <c r="F786" s="8"/>
      <c r="G786" s="8"/>
      <c r="H786" s="8"/>
      <c r="I786" s="9"/>
      <c r="J786" s="9"/>
      <c r="K786" s="10"/>
      <c r="L786" s="15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7"/>
      <c r="B787" s="8"/>
      <c r="C787" s="8"/>
      <c r="D787" s="8"/>
      <c r="E787" s="8"/>
      <c r="F787" s="8"/>
      <c r="G787" s="8"/>
      <c r="H787" s="8"/>
      <c r="I787" s="9"/>
      <c r="J787" s="9"/>
      <c r="K787" s="10"/>
      <c r="L787" s="15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7"/>
      <c r="B788" s="8"/>
      <c r="C788" s="8"/>
      <c r="D788" s="8"/>
      <c r="E788" s="8"/>
      <c r="F788" s="8"/>
      <c r="G788" s="8"/>
      <c r="H788" s="8"/>
      <c r="I788" s="9"/>
      <c r="J788" s="9"/>
      <c r="K788" s="10"/>
      <c r="L788" s="15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7"/>
      <c r="B789" s="8"/>
      <c r="C789" s="8"/>
      <c r="D789" s="8"/>
      <c r="E789" s="8"/>
      <c r="F789" s="8"/>
      <c r="G789" s="8"/>
      <c r="H789" s="8"/>
      <c r="I789" s="9"/>
      <c r="J789" s="9"/>
      <c r="K789" s="10"/>
      <c r="L789" s="15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7"/>
      <c r="B790" s="8"/>
      <c r="C790" s="8"/>
      <c r="D790" s="8"/>
      <c r="E790" s="8"/>
      <c r="F790" s="8"/>
      <c r="G790" s="8"/>
      <c r="H790" s="8"/>
      <c r="I790" s="9"/>
      <c r="J790" s="9"/>
      <c r="K790" s="10"/>
      <c r="L790" s="15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7"/>
      <c r="B791" s="8"/>
      <c r="C791" s="8"/>
      <c r="D791" s="8"/>
      <c r="E791" s="8"/>
      <c r="F791" s="8"/>
      <c r="G791" s="8"/>
      <c r="H791" s="8"/>
      <c r="I791" s="9"/>
      <c r="J791" s="9"/>
      <c r="K791" s="10"/>
      <c r="L791" s="15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7"/>
      <c r="B792" s="8"/>
      <c r="C792" s="8"/>
      <c r="D792" s="8"/>
      <c r="E792" s="8"/>
      <c r="F792" s="8"/>
      <c r="G792" s="8"/>
      <c r="H792" s="8"/>
      <c r="I792" s="9"/>
      <c r="J792" s="9"/>
      <c r="K792" s="10"/>
      <c r="L792" s="15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7"/>
      <c r="B793" s="8"/>
      <c r="C793" s="8"/>
      <c r="D793" s="8"/>
      <c r="E793" s="8"/>
      <c r="F793" s="8"/>
      <c r="G793" s="8"/>
      <c r="H793" s="8"/>
      <c r="I793" s="9"/>
      <c r="J793" s="9"/>
      <c r="K793" s="10"/>
      <c r="L793" s="15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7"/>
      <c r="B794" s="8"/>
      <c r="C794" s="8"/>
      <c r="D794" s="8"/>
      <c r="E794" s="8"/>
      <c r="F794" s="8"/>
      <c r="G794" s="8"/>
      <c r="H794" s="8"/>
      <c r="I794" s="9"/>
      <c r="J794" s="9"/>
      <c r="K794" s="10"/>
      <c r="L794" s="1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7"/>
      <c r="B795" s="8"/>
      <c r="C795" s="8"/>
      <c r="D795" s="8"/>
      <c r="E795" s="8"/>
      <c r="F795" s="8"/>
      <c r="G795" s="8"/>
      <c r="H795" s="8"/>
      <c r="I795" s="9"/>
      <c r="J795" s="9"/>
      <c r="K795" s="10"/>
      <c r="L795" s="1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7"/>
      <c r="B796" s="8"/>
      <c r="C796" s="8"/>
      <c r="D796" s="8"/>
      <c r="E796" s="8"/>
      <c r="F796" s="8"/>
      <c r="G796" s="8"/>
      <c r="H796" s="8"/>
      <c r="I796" s="9"/>
      <c r="J796" s="9"/>
      <c r="K796" s="10"/>
      <c r="L796" s="1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7"/>
      <c r="B797" s="8"/>
      <c r="C797" s="8"/>
      <c r="D797" s="8"/>
      <c r="E797" s="8"/>
      <c r="F797" s="8"/>
      <c r="G797" s="8"/>
      <c r="H797" s="8"/>
      <c r="I797" s="9"/>
      <c r="J797" s="9"/>
      <c r="K797" s="10"/>
      <c r="L797" s="1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7"/>
      <c r="B798" s="8"/>
      <c r="C798" s="8"/>
      <c r="D798" s="8"/>
      <c r="E798" s="8"/>
      <c r="F798" s="8"/>
      <c r="G798" s="8"/>
      <c r="H798" s="8"/>
      <c r="I798" s="9"/>
      <c r="J798" s="9"/>
      <c r="K798" s="10"/>
      <c r="L798" s="1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7"/>
      <c r="B799" s="8"/>
      <c r="C799" s="8"/>
      <c r="D799" s="8"/>
      <c r="E799" s="8"/>
      <c r="F799" s="8"/>
      <c r="G799" s="8"/>
      <c r="H799" s="8"/>
      <c r="I799" s="9"/>
      <c r="J799" s="9"/>
      <c r="K799" s="10"/>
      <c r="L799" s="1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7"/>
      <c r="B800" s="8"/>
      <c r="C800" s="8"/>
      <c r="D800" s="8"/>
      <c r="E800" s="8"/>
      <c r="F800" s="8"/>
      <c r="G800" s="8"/>
      <c r="H800" s="8"/>
      <c r="I800" s="9"/>
      <c r="J800" s="9"/>
      <c r="K800" s="10"/>
      <c r="L800" s="1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7"/>
      <c r="B801" s="8"/>
      <c r="C801" s="8"/>
      <c r="D801" s="8"/>
      <c r="E801" s="8"/>
      <c r="F801" s="8"/>
      <c r="G801" s="8"/>
      <c r="H801" s="8"/>
      <c r="I801" s="9"/>
      <c r="J801" s="9"/>
      <c r="K801" s="10"/>
      <c r="L801" s="1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7"/>
      <c r="B802" s="8"/>
      <c r="C802" s="8"/>
      <c r="D802" s="8"/>
      <c r="E802" s="8"/>
      <c r="F802" s="8"/>
      <c r="G802" s="8"/>
      <c r="H802" s="8"/>
      <c r="I802" s="9"/>
      <c r="J802" s="9"/>
      <c r="K802" s="10"/>
      <c r="L802" s="1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7"/>
      <c r="B803" s="8"/>
      <c r="C803" s="8"/>
      <c r="D803" s="8"/>
      <c r="E803" s="8"/>
      <c r="F803" s="8"/>
      <c r="G803" s="8"/>
      <c r="H803" s="8"/>
      <c r="I803" s="9"/>
      <c r="J803" s="9"/>
      <c r="K803" s="10"/>
      <c r="L803" s="1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7"/>
      <c r="B804" s="8"/>
      <c r="C804" s="8"/>
      <c r="D804" s="8"/>
      <c r="E804" s="8"/>
      <c r="F804" s="8"/>
      <c r="G804" s="8"/>
      <c r="H804" s="8"/>
      <c r="I804" s="9"/>
      <c r="J804" s="9"/>
      <c r="K804" s="10"/>
      <c r="L804" s="1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7"/>
      <c r="B805" s="8"/>
      <c r="C805" s="8"/>
      <c r="D805" s="8"/>
      <c r="E805" s="8"/>
      <c r="F805" s="8"/>
      <c r="G805" s="8"/>
      <c r="H805" s="8"/>
      <c r="I805" s="9"/>
      <c r="J805" s="9"/>
      <c r="K805" s="10"/>
      <c r="L805" s="1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7"/>
      <c r="B806" s="8"/>
      <c r="C806" s="8"/>
      <c r="D806" s="8"/>
      <c r="E806" s="8"/>
      <c r="F806" s="8"/>
      <c r="G806" s="8"/>
      <c r="H806" s="8"/>
      <c r="I806" s="9"/>
      <c r="J806" s="9"/>
      <c r="K806" s="10"/>
      <c r="L806" s="1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7"/>
      <c r="B807" s="8"/>
      <c r="C807" s="8"/>
      <c r="D807" s="8"/>
      <c r="E807" s="8"/>
      <c r="F807" s="8"/>
      <c r="G807" s="8"/>
      <c r="H807" s="8"/>
      <c r="I807" s="9"/>
      <c r="J807" s="9"/>
      <c r="K807" s="10"/>
      <c r="L807" s="1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7"/>
      <c r="B808" s="8"/>
      <c r="C808" s="8"/>
      <c r="D808" s="8"/>
      <c r="E808" s="8"/>
      <c r="F808" s="8"/>
      <c r="G808" s="8"/>
      <c r="H808" s="8"/>
      <c r="I808" s="9"/>
      <c r="J808" s="9"/>
      <c r="K808" s="10"/>
      <c r="L808" s="1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7"/>
      <c r="B809" s="8"/>
      <c r="C809" s="8"/>
      <c r="D809" s="8"/>
      <c r="E809" s="8"/>
      <c r="F809" s="8"/>
      <c r="G809" s="8"/>
      <c r="H809" s="8"/>
      <c r="I809" s="9"/>
      <c r="J809" s="9"/>
      <c r="K809" s="10"/>
      <c r="L809" s="1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7"/>
      <c r="B810" s="8"/>
      <c r="C810" s="8"/>
      <c r="D810" s="8"/>
      <c r="E810" s="8"/>
      <c r="F810" s="8"/>
      <c r="G810" s="8"/>
      <c r="H810" s="8"/>
      <c r="I810" s="9"/>
      <c r="J810" s="9"/>
      <c r="K810" s="10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7"/>
      <c r="B811" s="8"/>
      <c r="C811" s="8"/>
      <c r="D811" s="8"/>
      <c r="E811" s="8"/>
      <c r="F811" s="8"/>
      <c r="G811" s="8"/>
      <c r="H811" s="8"/>
      <c r="I811" s="9"/>
      <c r="J811" s="9"/>
      <c r="K811" s="10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7"/>
      <c r="B812" s="8"/>
      <c r="C812" s="8"/>
      <c r="D812" s="8"/>
      <c r="E812" s="8"/>
      <c r="F812" s="8"/>
      <c r="G812" s="8"/>
      <c r="H812" s="8"/>
      <c r="I812" s="9"/>
      <c r="J812" s="9"/>
      <c r="K812" s="10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7"/>
      <c r="B813" s="8"/>
      <c r="C813" s="8"/>
      <c r="D813" s="8"/>
      <c r="E813" s="8"/>
      <c r="F813" s="8"/>
      <c r="G813" s="8"/>
      <c r="H813" s="8"/>
      <c r="I813" s="9"/>
      <c r="J813" s="9"/>
      <c r="K813" s="10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7"/>
      <c r="B814" s="8"/>
      <c r="C814" s="8"/>
      <c r="D814" s="8"/>
      <c r="E814" s="8"/>
      <c r="F814" s="8"/>
      <c r="G814" s="8"/>
      <c r="H814" s="8"/>
      <c r="I814" s="9"/>
      <c r="J814" s="9"/>
      <c r="K814" s="10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7"/>
      <c r="B815" s="8"/>
      <c r="C815" s="8"/>
      <c r="D815" s="8"/>
      <c r="E815" s="8"/>
      <c r="F815" s="8"/>
      <c r="G815" s="8"/>
      <c r="H815" s="8"/>
      <c r="I815" s="9"/>
      <c r="J815" s="9"/>
      <c r="K815" s="10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7"/>
      <c r="B816" s="8"/>
      <c r="C816" s="8"/>
      <c r="D816" s="8"/>
      <c r="E816" s="8"/>
      <c r="F816" s="8"/>
      <c r="G816" s="8"/>
      <c r="H816" s="8"/>
      <c r="I816" s="9"/>
      <c r="J816" s="9"/>
      <c r="K816" s="10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7"/>
      <c r="B817" s="8"/>
      <c r="C817" s="8"/>
      <c r="D817" s="8"/>
      <c r="E817" s="8"/>
      <c r="F817" s="8"/>
      <c r="G817" s="8"/>
      <c r="H817" s="8"/>
      <c r="I817" s="9"/>
      <c r="J817" s="9"/>
      <c r="K817" s="10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7"/>
      <c r="B818" s="8"/>
      <c r="C818" s="8"/>
      <c r="D818" s="8"/>
      <c r="E818" s="8"/>
      <c r="F818" s="8"/>
      <c r="G818" s="8"/>
      <c r="H818" s="8"/>
      <c r="I818" s="9"/>
      <c r="J818" s="9"/>
      <c r="K818" s="10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7"/>
      <c r="B819" s="8"/>
      <c r="C819" s="8"/>
      <c r="D819" s="8"/>
      <c r="E819" s="8"/>
      <c r="F819" s="8"/>
      <c r="G819" s="8"/>
      <c r="H819" s="8"/>
      <c r="I819" s="9"/>
      <c r="J819" s="9"/>
      <c r="K819" s="1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7"/>
      <c r="B820" s="8"/>
      <c r="C820" s="8"/>
      <c r="D820" s="8"/>
      <c r="E820" s="8"/>
      <c r="F820" s="8"/>
      <c r="G820" s="8"/>
      <c r="H820" s="8"/>
      <c r="I820" s="9"/>
      <c r="J820" s="9"/>
      <c r="K820" s="1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7"/>
      <c r="B821" s="8"/>
      <c r="C821" s="8"/>
      <c r="D821" s="8"/>
      <c r="E821" s="8"/>
      <c r="F821" s="8"/>
      <c r="G821" s="8"/>
      <c r="H821" s="8"/>
      <c r="I821" s="9"/>
      <c r="J821" s="9"/>
      <c r="K821" s="1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7"/>
      <c r="B822" s="8"/>
      <c r="C822" s="8"/>
      <c r="D822" s="8"/>
      <c r="E822" s="8"/>
      <c r="F822" s="8"/>
      <c r="G822" s="8"/>
      <c r="H822" s="8"/>
      <c r="I822" s="9"/>
      <c r="J822" s="9"/>
      <c r="K822" s="1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7"/>
      <c r="B823" s="8"/>
      <c r="C823" s="8"/>
      <c r="D823" s="8"/>
      <c r="E823" s="8"/>
      <c r="F823" s="8"/>
      <c r="G823" s="8"/>
      <c r="H823" s="8"/>
      <c r="I823" s="9"/>
      <c r="J823" s="9"/>
      <c r="K823" s="1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7"/>
      <c r="B824" s="8"/>
      <c r="C824" s="8"/>
      <c r="D824" s="8"/>
      <c r="E824" s="8"/>
      <c r="F824" s="8"/>
      <c r="G824" s="8"/>
      <c r="H824" s="8"/>
      <c r="I824" s="9"/>
      <c r="J824" s="9"/>
      <c r="K824" s="1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7"/>
      <c r="B825" s="8"/>
      <c r="C825" s="8"/>
      <c r="D825" s="8"/>
      <c r="E825" s="8"/>
      <c r="F825" s="8"/>
      <c r="G825" s="8"/>
      <c r="H825" s="8"/>
      <c r="I825" s="9"/>
      <c r="J825" s="9"/>
      <c r="K825" s="1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7"/>
      <c r="B826" s="8"/>
      <c r="C826" s="8"/>
      <c r="D826" s="8"/>
      <c r="E826" s="8"/>
      <c r="F826" s="8"/>
      <c r="G826" s="8"/>
      <c r="H826" s="8"/>
      <c r="I826" s="9"/>
      <c r="J826" s="9"/>
      <c r="K826" s="1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7"/>
      <c r="B827" s="8"/>
      <c r="C827" s="8"/>
      <c r="D827" s="8"/>
      <c r="E827" s="8"/>
      <c r="F827" s="8"/>
      <c r="G827" s="8"/>
      <c r="H827" s="8"/>
      <c r="I827" s="9"/>
      <c r="J827" s="9"/>
      <c r="K827" s="1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7"/>
      <c r="B828" s="8"/>
      <c r="C828" s="8"/>
      <c r="D828" s="8"/>
      <c r="E828" s="8"/>
      <c r="F828" s="8"/>
      <c r="G828" s="8"/>
      <c r="H828" s="8"/>
      <c r="I828" s="9"/>
      <c r="J828" s="9"/>
      <c r="K828" s="1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7"/>
      <c r="B829" s="8"/>
      <c r="C829" s="8"/>
      <c r="D829" s="8"/>
      <c r="E829" s="8"/>
      <c r="F829" s="8"/>
      <c r="G829" s="8"/>
      <c r="H829" s="8"/>
      <c r="I829" s="9"/>
      <c r="J829" s="9"/>
      <c r="K829" s="1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7"/>
      <c r="B830" s="8"/>
      <c r="C830" s="8"/>
      <c r="D830" s="8"/>
      <c r="E830" s="8"/>
      <c r="F830" s="8"/>
      <c r="G830" s="8"/>
      <c r="H830" s="8"/>
      <c r="I830" s="9"/>
      <c r="J830" s="9"/>
      <c r="K830" s="1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7"/>
      <c r="B831" s="8"/>
      <c r="C831" s="8"/>
      <c r="D831" s="8"/>
      <c r="E831" s="8"/>
      <c r="F831" s="8"/>
      <c r="G831" s="8"/>
      <c r="H831" s="8"/>
      <c r="I831" s="9"/>
      <c r="J831" s="9"/>
      <c r="K831" s="1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7"/>
      <c r="B832" s="8"/>
      <c r="C832" s="8"/>
      <c r="D832" s="8"/>
      <c r="E832" s="8"/>
      <c r="F832" s="8"/>
      <c r="G832" s="8"/>
      <c r="H832" s="8"/>
      <c r="I832" s="9"/>
      <c r="J832" s="9"/>
      <c r="K832" s="1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7"/>
      <c r="B833" s="8"/>
      <c r="C833" s="8"/>
      <c r="D833" s="8"/>
      <c r="E833" s="8"/>
      <c r="F833" s="8"/>
      <c r="G833" s="8"/>
      <c r="H833" s="8"/>
      <c r="I833" s="9"/>
      <c r="J833" s="9"/>
      <c r="K833" s="1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7"/>
      <c r="B834" s="8"/>
      <c r="C834" s="8"/>
      <c r="D834" s="8"/>
      <c r="E834" s="8"/>
      <c r="F834" s="8"/>
      <c r="G834" s="8"/>
      <c r="H834" s="8"/>
      <c r="I834" s="9"/>
      <c r="J834" s="9"/>
      <c r="K834" s="1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7"/>
      <c r="B835" s="8"/>
      <c r="C835" s="8"/>
      <c r="D835" s="8"/>
      <c r="E835" s="8"/>
      <c r="F835" s="8"/>
      <c r="G835" s="8"/>
      <c r="H835" s="8"/>
      <c r="I835" s="9"/>
      <c r="J835" s="9"/>
      <c r="K835" s="1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7"/>
      <c r="B836" s="8"/>
      <c r="C836" s="8"/>
      <c r="D836" s="8"/>
      <c r="E836" s="8"/>
      <c r="F836" s="8"/>
      <c r="G836" s="8"/>
      <c r="H836" s="8"/>
      <c r="I836" s="9"/>
      <c r="J836" s="9"/>
      <c r="K836" s="1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7"/>
      <c r="B837" s="8"/>
      <c r="C837" s="8"/>
      <c r="D837" s="8"/>
      <c r="E837" s="8"/>
      <c r="F837" s="8"/>
      <c r="G837" s="8"/>
      <c r="H837" s="8"/>
      <c r="I837" s="9"/>
      <c r="J837" s="9"/>
      <c r="K837" s="1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7"/>
      <c r="B838" s="8"/>
      <c r="C838" s="8"/>
      <c r="D838" s="8"/>
      <c r="E838" s="8"/>
      <c r="F838" s="8"/>
      <c r="G838" s="8"/>
      <c r="H838" s="8"/>
      <c r="I838" s="9"/>
      <c r="J838" s="9"/>
      <c r="K838" s="1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7"/>
      <c r="B839" s="8"/>
      <c r="C839" s="8"/>
      <c r="D839" s="8"/>
      <c r="E839" s="8"/>
      <c r="F839" s="8"/>
      <c r="G839" s="8"/>
      <c r="H839" s="8"/>
      <c r="I839" s="9"/>
      <c r="J839" s="9"/>
      <c r="K839" s="1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7"/>
      <c r="B840" s="8"/>
      <c r="C840" s="8"/>
      <c r="D840" s="8"/>
      <c r="E840" s="8"/>
      <c r="F840" s="8"/>
      <c r="G840" s="8"/>
      <c r="H840" s="8"/>
      <c r="I840" s="9"/>
      <c r="J840" s="9"/>
      <c r="K840" s="1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7"/>
      <c r="B841" s="8"/>
      <c r="C841" s="8"/>
      <c r="D841" s="8"/>
      <c r="E841" s="8"/>
      <c r="F841" s="8"/>
      <c r="G841" s="8"/>
      <c r="H841" s="8"/>
      <c r="I841" s="9"/>
      <c r="J841" s="9"/>
      <c r="K841" s="1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7"/>
      <c r="B842" s="8"/>
      <c r="C842" s="8"/>
      <c r="D842" s="8"/>
      <c r="E842" s="8"/>
      <c r="F842" s="8"/>
      <c r="G842" s="8"/>
      <c r="H842" s="8"/>
      <c r="I842" s="9"/>
      <c r="J842" s="9"/>
      <c r="K842" s="1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7"/>
      <c r="B843" s="8"/>
      <c r="C843" s="8"/>
      <c r="D843" s="8"/>
      <c r="E843" s="8"/>
      <c r="F843" s="8"/>
      <c r="G843" s="8"/>
      <c r="H843" s="8"/>
      <c r="I843" s="9"/>
      <c r="J843" s="9"/>
      <c r="K843" s="1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7"/>
      <c r="B844" s="8"/>
      <c r="C844" s="8"/>
      <c r="D844" s="8"/>
      <c r="E844" s="8"/>
      <c r="F844" s="8"/>
      <c r="G844" s="8"/>
      <c r="H844" s="8"/>
      <c r="I844" s="9"/>
      <c r="J844" s="9"/>
      <c r="K844" s="1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7"/>
      <c r="B845" s="8"/>
      <c r="C845" s="8"/>
      <c r="D845" s="8"/>
      <c r="E845" s="8"/>
      <c r="F845" s="8"/>
      <c r="G845" s="8"/>
      <c r="H845" s="8"/>
      <c r="I845" s="9"/>
      <c r="J845" s="9"/>
      <c r="K845" s="1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7"/>
      <c r="B846" s="8"/>
      <c r="C846" s="8"/>
      <c r="D846" s="8"/>
      <c r="E846" s="8"/>
      <c r="F846" s="8"/>
      <c r="G846" s="8"/>
      <c r="H846" s="8"/>
      <c r="I846" s="9"/>
      <c r="J846" s="9"/>
      <c r="K846" s="1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7"/>
      <c r="B847" s="8"/>
      <c r="C847" s="8"/>
      <c r="D847" s="8"/>
      <c r="E847" s="8"/>
      <c r="F847" s="8"/>
      <c r="G847" s="8"/>
      <c r="H847" s="8"/>
      <c r="I847" s="9"/>
      <c r="J847" s="9"/>
      <c r="K847" s="1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7"/>
      <c r="B848" s="8"/>
      <c r="C848" s="8"/>
      <c r="D848" s="8"/>
      <c r="E848" s="8"/>
      <c r="F848" s="8"/>
      <c r="G848" s="8"/>
      <c r="H848" s="8"/>
      <c r="I848" s="9"/>
      <c r="J848" s="9"/>
      <c r="K848" s="1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7"/>
      <c r="B849" s="8"/>
      <c r="C849" s="8"/>
      <c r="D849" s="8"/>
      <c r="E849" s="8"/>
      <c r="F849" s="8"/>
      <c r="G849" s="8"/>
      <c r="H849" s="8"/>
      <c r="I849" s="9"/>
      <c r="J849" s="9"/>
      <c r="K849" s="1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7"/>
      <c r="B850" s="8"/>
      <c r="C850" s="8"/>
      <c r="D850" s="8"/>
      <c r="E850" s="8"/>
      <c r="F850" s="8"/>
      <c r="G850" s="8"/>
      <c r="H850" s="8"/>
      <c r="I850" s="9"/>
      <c r="J850" s="9"/>
      <c r="K850" s="1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7"/>
      <c r="B851" s="8"/>
      <c r="C851" s="8"/>
      <c r="D851" s="8"/>
      <c r="E851" s="8"/>
      <c r="F851" s="8"/>
      <c r="G851" s="8"/>
      <c r="H851" s="8"/>
      <c r="I851" s="9"/>
      <c r="J851" s="9"/>
      <c r="K851" s="1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7"/>
      <c r="B852" s="8"/>
      <c r="C852" s="8"/>
      <c r="D852" s="8"/>
      <c r="E852" s="8"/>
      <c r="F852" s="8"/>
      <c r="G852" s="8"/>
      <c r="H852" s="8"/>
      <c r="I852" s="9"/>
      <c r="J852" s="9"/>
      <c r="K852" s="1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7"/>
      <c r="B853" s="8"/>
      <c r="C853" s="8"/>
      <c r="D853" s="8"/>
      <c r="E853" s="8"/>
      <c r="F853" s="8"/>
      <c r="G853" s="8"/>
      <c r="H853" s="8"/>
      <c r="I853" s="9"/>
      <c r="J853" s="9"/>
      <c r="K853" s="1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7"/>
      <c r="B854" s="8"/>
      <c r="C854" s="8"/>
      <c r="D854" s="8"/>
      <c r="E854" s="8"/>
      <c r="F854" s="8"/>
      <c r="G854" s="8"/>
      <c r="H854" s="8"/>
      <c r="I854" s="9"/>
      <c r="J854" s="9"/>
      <c r="K854" s="1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7"/>
      <c r="B855" s="8"/>
      <c r="C855" s="8"/>
      <c r="D855" s="8"/>
      <c r="E855" s="8"/>
      <c r="F855" s="8"/>
      <c r="G855" s="8"/>
      <c r="H855" s="8"/>
      <c r="I855" s="9"/>
      <c r="J855" s="9"/>
      <c r="K855" s="1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7"/>
      <c r="B856" s="8"/>
      <c r="C856" s="8"/>
      <c r="D856" s="8"/>
      <c r="E856" s="8"/>
      <c r="F856" s="8"/>
      <c r="G856" s="8"/>
      <c r="H856" s="8"/>
      <c r="I856" s="9"/>
      <c r="J856" s="9"/>
      <c r="K856" s="1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7"/>
      <c r="B857" s="8"/>
      <c r="C857" s="8"/>
      <c r="D857" s="8"/>
      <c r="E857" s="8"/>
      <c r="F857" s="8"/>
      <c r="G857" s="8"/>
      <c r="H857" s="8"/>
      <c r="I857" s="9"/>
      <c r="J857" s="9"/>
      <c r="K857" s="1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7"/>
      <c r="B858" s="8"/>
      <c r="C858" s="8"/>
      <c r="D858" s="8"/>
      <c r="E858" s="8"/>
      <c r="F858" s="8"/>
      <c r="G858" s="8"/>
      <c r="H858" s="8"/>
      <c r="I858" s="9"/>
      <c r="J858" s="9"/>
      <c r="K858" s="1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7"/>
      <c r="B859" s="8"/>
      <c r="C859" s="8"/>
      <c r="D859" s="8"/>
      <c r="E859" s="8"/>
      <c r="F859" s="8"/>
      <c r="G859" s="8"/>
      <c r="H859" s="8"/>
      <c r="I859" s="9"/>
      <c r="J859" s="9"/>
      <c r="K859" s="1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7"/>
      <c r="B860" s="8"/>
      <c r="C860" s="8"/>
      <c r="D860" s="8"/>
      <c r="E860" s="8"/>
      <c r="F860" s="8"/>
      <c r="G860" s="8"/>
      <c r="H860" s="8"/>
      <c r="I860" s="9"/>
      <c r="J860" s="9"/>
      <c r="K860" s="1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7"/>
      <c r="B861" s="8"/>
      <c r="C861" s="8"/>
      <c r="D861" s="8"/>
      <c r="E861" s="8"/>
      <c r="F861" s="8"/>
      <c r="G861" s="8"/>
      <c r="H861" s="8"/>
      <c r="I861" s="9"/>
      <c r="J861" s="9"/>
      <c r="K861" s="1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7"/>
      <c r="B862" s="8"/>
      <c r="C862" s="8"/>
      <c r="D862" s="8"/>
      <c r="E862" s="8"/>
      <c r="F862" s="8"/>
      <c r="G862" s="8"/>
      <c r="H862" s="8"/>
      <c r="I862" s="9"/>
      <c r="J862" s="9"/>
      <c r="K862" s="1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7"/>
      <c r="B863" s="8"/>
      <c r="C863" s="8"/>
      <c r="D863" s="8"/>
      <c r="E863" s="8"/>
      <c r="F863" s="8"/>
      <c r="G863" s="8"/>
      <c r="H863" s="8"/>
      <c r="I863" s="9"/>
      <c r="J863" s="9"/>
      <c r="K863" s="1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7"/>
      <c r="B864" s="8"/>
      <c r="C864" s="8"/>
      <c r="D864" s="8"/>
      <c r="E864" s="8"/>
      <c r="F864" s="8"/>
      <c r="G864" s="8"/>
      <c r="H864" s="8"/>
      <c r="I864" s="9"/>
      <c r="J864" s="9"/>
      <c r="K864" s="1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7"/>
      <c r="B865" s="8"/>
      <c r="C865" s="8"/>
      <c r="D865" s="8"/>
      <c r="E865" s="8"/>
      <c r="F865" s="8"/>
      <c r="G865" s="8"/>
      <c r="H865" s="8"/>
      <c r="I865" s="9"/>
      <c r="J865" s="9"/>
      <c r="K865" s="1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7"/>
      <c r="B866" s="8"/>
      <c r="C866" s="8"/>
      <c r="D866" s="8"/>
      <c r="E866" s="8"/>
      <c r="F866" s="8"/>
      <c r="G866" s="8"/>
      <c r="H866" s="8"/>
      <c r="I866" s="9"/>
      <c r="J866" s="9"/>
      <c r="K866" s="1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7"/>
      <c r="B867" s="8"/>
      <c r="C867" s="8"/>
      <c r="D867" s="8"/>
      <c r="E867" s="8"/>
      <c r="F867" s="8"/>
      <c r="G867" s="8"/>
      <c r="H867" s="8"/>
      <c r="I867" s="9"/>
      <c r="J867" s="9"/>
      <c r="K867" s="1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7"/>
      <c r="B868" s="8"/>
      <c r="C868" s="8"/>
      <c r="D868" s="8"/>
      <c r="E868" s="8"/>
      <c r="F868" s="8"/>
      <c r="G868" s="8"/>
      <c r="H868" s="8"/>
      <c r="I868" s="9"/>
      <c r="J868" s="9"/>
      <c r="K868" s="1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7"/>
      <c r="B869" s="8"/>
      <c r="C869" s="8"/>
      <c r="D869" s="8"/>
      <c r="E869" s="8"/>
      <c r="F869" s="8"/>
      <c r="G869" s="8"/>
      <c r="H869" s="8"/>
      <c r="I869" s="9"/>
      <c r="J869" s="9"/>
      <c r="K869" s="1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7"/>
      <c r="B870" s="8"/>
      <c r="C870" s="8"/>
      <c r="D870" s="8"/>
      <c r="E870" s="8"/>
      <c r="F870" s="8"/>
      <c r="G870" s="8"/>
      <c r="H870" s="8"/>
      <c r="I870" s="9"/>
      <c r="J870" s="9"/>
      <c r="K870" s="1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7"/>
      <c r="B871" s="8"/>
      <c r="C871" s="8"/>
      <c r="D871" s="8"/>
      <c r="E871" s="8"/>
      <c r="F871" s="8"/>
      <c r="G871" s="8"/>
      <c r="H871" s="8"/>
      <c r="I871" s="9"/>
      <c r="J871" s="9"/>
      <c r="K871" s="1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7"/>
      <c r="B872" s="8"/>
      <c r="C872" s="8"/>
      <c r="D872" s="8"/>
      <c r="E872" s="8"/>
      <c r="F872" s="8"/>
      <c r="G872" s="8"/>
      <c r="H872" s="8"/>
      <c r="I872" s="9"/>
      <c r="J872" s="9"/>
      <c r="K872" s="1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7"/>
      <c r="B873" s="8"/>
      <c r="C873" s="8"/>
      <c r="D873" s="8"/>
      <c r="E873" s="8"/>
      <c r="F873" s="8"/>
      <c r="G873" s="8"/>
      <c r="H873" s="8"/>
      <c r="I873" s="9"/>
      <c r="J873" s="9"/>
      <c r="K873" s="1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7"/>
      <c r="B874" s="8"/>
      <c r="C874" s="8"/>
      <c r="D874" s="8"/>
      <c r="E874" s="8"/>
      <c r="F874" s="8"/>
      <c r="G874" s="8"/>
      <c r="H874" s="8"/>
      <c r="I874" s="9"/>
      <c r="J874" s="9"/>
      <c r="K874" s="1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7"/>
      <c r="B875" s="8"/>
      <c r="C875" s="8"/>
      <c r="D875" s="8"/>
      <c r="E875" s="8"/>
      <c r="F875" s="8"/>
      <c r="G875" s="8"/>
      <c r="H875" s="8"/>
      <c r="I875" s="9"/>
      <c r="J875" s="9"/>
      <c r="K875" s="1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7"/>
      <c r="B876" s="8"/>
      <c r="C876" s="8"/>
      <c r="D876" s="8"/>
      <c r="E876" s="8"/>
      <c r="F876" s="8"/>
      <c r="G876" s="8"/>
      <c r="H876" s="8"/>
      <c r="I876" s="9"/>
      <c r="J876" s="9"/>
      <c r="K876" s="1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7"/>
      <c r="B877" s="8"/>
      <c r="C877" s="8"/>
      <c r="D877" s="8"/>
      <c r="E877" s="8"/>
      <c r="F877" s="8"/>
      <c r="G877" s="8"/>
      <c r="H877" s="8"/>
      <c r="I877" s="9"/>
      <c r="J877" s="9"/>
      <c r="K877" s="1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7"/>
      <c r="B878" s="8"/>
      <c r="C878" s="8"/>
      <c r="D878" s="8"/>
      <c r="E878" s="8"/>
      <c r="F878" s="8"/>
      <c r="G878" s="8"/>
      <c r="H878" s="8"/>
      <c r="I878" s="9"/>
      <c r="J878" s="9"/>
      <c r="K878" s="1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7"/>
      <c r="B879" s="8"/>
      <c r="C879" s="8"/>
      <c r="D879" s="8"/>
      <c r="E879" s="8"/>
      <c r="F879" s="8"/>
      <c r="G879" s="8"/>
      <c r="H879" s="8"/>
      <c r="I879" s="9"/>
      <c r="J879" s="9"/>
      <c r="K879" s="1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7"/>
      <c r="B880" s="8"/>
      <c r="C880" s="8"/>
      <c r="D880" s="8"/>
      <c r="E880" s="8"/>
      <c r="F880" s="8"/>
      <c r="G880" s="8"/>
      <c r="H880" s="8"/>
      <c r="I880" s="9"/>
      <c r="J880" s="9"/>
      <c r="K880" s="1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7"/>
      <c r="B881" s="8"/>
      <c r="C881" s="8"/>
      <c r="D881" s="8"/>
      <c r="E881" s="8"/>
      <c r="F881" s="8"/>
      <c r="G881" s="8"/>
      <c r="H881" s="8"/>
      <c r="I881" s="9"/>
      <c r="J881" s="9"/>
      <c r="K881" s="1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7"/>
      <c r="B882" s="8"/>
      <c r="C882" s="8"/>
      <c r="D882" s="8"/>
      <c r="E882" s="8"/>
      <c r="F882" s="8"/>
      <c r="G882" s="8"/>
      <c r="H882" s="8"/>
      <c r="I882" s="9"/>
      <c r="J882" s="9"/>
      <c r="K882" s="1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7"/>
      <c r="B883" s="8"/>
      <c r="C883" s="8"/>
      <c r="D883" s="8"/>
      <c r="E883" s="8"/>
      <c r="F883" s="8"/>
      <c r="G883" s="8"/>
      <c r="H883" s="8"/>
      <c r="I883" s="9"/>
      <c r="J883" s="9"/>
      <c r="K883" s="1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7"/>
      <c r="B884" s="8"/>
      <c r="C884" s="8"/>
      <c r="D884" s="8"/>
      <c r="E884" s="8"/>
      <c r="F884" s="8"/>
      <c r="G884" s="8"/>
      <c r="H884" s="8"/>
      <c r="I884" s="9"/>
      <c r="J884" s="9"/>
      <c r="K884" s="1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7"/>
      <c r="B885" s="8"/>
      <c r="C885" s="8"/>
      <c r="D885" s="8"/>
      <c r="E885" s="8"/>
      <c r="F885" s="8"/>
      <c r="G885" s="8"/>
      <c r="H885" s="8"/>
      <c r="I885" s="9"/>
      <c r="J885" s="9"/>
      <c r="K885" s="1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7"/>
      <c r="B886" s="8"/>
      <c r="C886" s="8"/>
      <c r="D886" s="8"/>
      <c r="E886" s="8"/>
      <c r="F886" s="8"/>
      <c r="G886" s="8"/>
      <c r="H886" s="8"/>
      <c r="I886" s="9"/>
      <c r="J886" s="9"/>
      <c r="K886" s="1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7"/>
      <c r="B887" s="8"/>
      <c r="C887" s="8"/>
      <c r="D887" s="8"/>
      <c r="E887" s="8"/>
      <c r="F887" s="8"/>
      <c r="G887" s="8"/>
      <c r="H887" s="8"/>
      <c r="I887" s="9"/>
      <c r="J887" s="9"/>
      <c r="K887" s="1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7"/>
      <c r="B888" s="8"/>
      <c r="C888" s="8"/>
      <c r="D888" s="8"/>
      <c r="E888" s="8"/>
      <c r="F888" s="8"/>
      <c r="G888" s="8"/>
      <c r="H888" s="8"/>
      <c r="I888" s="9"/>
      <c r="J888" s="9"/>
      <c r="K888" s="1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7"/>
      <c r="B889" s="8"/>
      <c r="C889" s="8"/>
      <c r="D889" s="8"/>
      <c r="E889" s="8"/>
      <c r="F889" s="8"/>
      <c r="G889" s="8"/>
      <c r="H889" s="8"/>
      <c r="I889" s="9"/>
      <c r="J889" s="9"/>
      <c r="K889" s="1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7"/>
      <c r="B890" s="8"/>
      <c r="C890" s="8"/>
      <c r="D890" s="8"/>
      <c r="E890" s="8"/>
      <c r="F890" s="8"/>
      <c r="G890" s="8"/>
      <c r="H890" s="8"/>
      <c r="I890" s="9"/>
      <c r="J890" s="9"/>
      <c r="K890" s="1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7"/>
      <c r="B891" s="8"/>
      <c r="C891" s="8"/>
      <c r="D891" s="8"/>
      <c r="E891" s="8"/>
      <c r="F891" s="8"/>
      <c r="G891" s="8"/>
      <c r="H891" s="8"/>
      <c r="I891" s="9"/>
      <c r="J891" s="9"/>
      <c r="K891" s="1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7"/>
      <c r="B892" s="8"/>
      <c r="C892" s="8"/>
      <c r="D892" s="8"/>
      <c r="E892" s="8"/>
      <c r="F892" s="8"/>
      <c r="G892" s="8"/>
      <c r="H892" s="8"/>
      <c r="I892" s="9"/>
      <c r="J892" s="9"/>
      <c r="K892" s="1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7"/>
      <c r="B893" s="8"/>
      <c r="C893" s="8"/>
      <c r="D893" s="8"/>
      <c r="E893" s="8"/>
      <c r="F893" s="8"/>
      <c r="G893" s="8"/>
      <c r="H893" s="8"/>
      <c r="I893" s="9"/>
      <c r="J893" s="9"/>
      <c r="K893" s="1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7"/>
      <c r="B894" s="8"/>
      <c r="C894" s="8"/>
      <c r="D894" s="8"/>
      <c r="E894" s="8"/>
      <c r="F894" s="8"/>
      <c r="G894" s="8"/>
      <c r="H894" s="8"/>
      <c r="I894" s="9"/>
      <c r="J894" s="9"/>
      <c r="K894" s="1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7"/>
      <c r="B895" s="8"/>
      <c r="C895" s="8"/>
      <c r="D895" s="8"/>
      <c r="E895" s="8"/>
      <c r="F895" s="8"/>
      <c r="G895" s="8"/>
      <c r="H895" s="8"/>
      <c r="I895" s="9"/>
      <c r="J895" s="9"/>
      <c r="K895" s="1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7"/>
      <c r="B896" s="8"/>
      <c r="C896" s="8"/>
      <c r="D896" s="8"/>
      <c r="E896" s="8"/>
      <c r="F896" s="8"/>
      <c r="G896" s="8"/>
      <c r="H896" s="8"/>
      <c r="I896" s="9"/>
      <c r="J896" s="9"/>
      <c r="K896" s="1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7"/>
      <c r="B897" s="8"/>
      <c r="C897" s="8"/>
      <c r="D897" s="8"/>
      <c r="E897" s="8"/>
      <c r="F897" s="8"/>
      <c r="G897" s="8"/>
      <c r="H897" s="8"/>
      <c r="I897" s="9"/>
      <c r="J897" s="9"/>
      <c r="K897" s="1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7"/>
      <c r="B898" s="8"/>
      <c r="C898" s="8"/>
      <c r="D898" s="8"/>
      <c r="E898" s="8"/>
      <c r="F898" s="8"/>
      <c r="G898" s="8"/>
      <c r="H898" s="8"/>
      <c r="I898" s="9"/>
      <c r="J898" s="9"/>
      <c r="K898" s="1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7"/>
      <c r="B899" s="8"/>
      <c r="C899" s="8"/>
      <c r="D899" s="8"/>
      <c r="E899" s="8"/>
      <c r="F899" s="8"/>
      <c r="G899" s="8"/>
      <c r="H899" s="8"/>
      <c r="I899" s="9"/>
      <c r="J899" s="9"/>
      <c r="K899" s="1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7"/>
      <c r="B900" s="8"/>
      <c r="C900" s="8"/>
      <c r="D900" s="8"/>
      <c r="E900" s="8"/>
      <c r="F900" s="8"/>
      <c r="G900" s="8"/>
      <c r="H900" s="8"/>
      <c r="I900" s="9"/>
      <c r="J900" s="9"/>
      <c r="K900" s="1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7"/>
      <c r="B901" s="8"/>
      <c r="C901" s="8"/>
      <c r="D901" s="8"/>
      <c r="E901" s="8"/>
      <c r="F901" s="8"/>
      <c r="G901" s="8"/>
      <c r="H901" s="8"/>
      <c r="I901" s="9"/>
      <c r="J901" s="9"/>
      <c r="K901" s="1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7"/>
      <c r="B902" s="8"/>
      <c r="C902" s="8"/>
      <c r="D902" s="8"/>
      <c r="E902" s="8"/>
      <c r="F902" s="8"/>
      <c r="G902" s="8"/>
      <c r="H902" s="8"/>
      <c r="I902" s="9"/>
      <c r="J902" s="9"/>
      <c r="K902" s="1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7"/>
      <c r="B903" s="8"/>
      <c r="C903" s="8"/>
      <c r="D903" s="8"/>
      <c r="E903" s="8"/>
      <c r="F903" s="8"/>
      <c r="G903" s="8"/>
      <c r="H903" s="8"/>
      <c r="I903" s="9"/>
      <c r="J903" s="9"/>
      <c r="K903" s="1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7"/>
      <c r="B904" s="8"/>
      <c r="C904" s="8"/>
      <c r="D904" s="8"/>
      <c r="E904" s="8"/>
      <c r="F904" s="8"/>
      <c r="G904" s="8"/>
      <c r="H904" s="8"/>
      <c r="I904" s="9"/>
      <c r="J904" s="9"/>
      <c r="K904" s="1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7"/>
      <c r="B905" s="8"/>
      <c r="C905" s="8"/>
      <c r="D905" s="8"/>
      <c r="E905" s="8"/>
      <c r="F905" s="8"/>
      <c r="G905" s="8"/>
      <c r="H905" s="8"/>
      <c r="I905" s="9"/>
      <c r="J905" s="9"/>
      <c r="K905" s="1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7"/>
      <c r="B906" s="8"/>
      <c r="C906" s="8"/>
      <c r="D906" s="8"/>
      <c r="E906" s="8"/>
      <c r="F906" s="8"/>
      <c r="G906" s="8"/>
      <c r="H906" s="8"/>
      <c r="I906" s="9"/>
      <c r="J906" s="9"/>
      <c r="K906" s="1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7"/>
      <c r="B907" s="8"/>
      <c r="C907" s="8"/>
      <c r="D907" s="8"/>
      <c r="E907" s="8"/>
      <c r="F907" s="8"/>
      <c r="G907" s="8"/>
      <c r="H907" s="8"/>
      <c r="I907" s="9"/>
      <c r="J907" s="9"/>
      <c r="K907" s="1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7"/>
      <c r="B908" s="8"/>
      <c r="C908" s="8"/>
      <c r="D908" s="8"/>
      <c r="E908" s="8"/>
      <c r="F908" s="8"/>
      <c r="G908" s="8"/>
      <c r="H908" s="8"/>
      <c r="I908" s="9"/>
      <c r="J908" s="9"/>
      <c r="K908" s="1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7"/>
      <c r="B909" s="8"/>
      <c r="C909" s="8"/>
      <c r="D909" s="8"/>
      <c r="E909" s="8"/>
      <c r="F909" s="8"/>
      <c r="G909" s="8"/>
      <c r="H909" s="8"/>
      <c r="I909" s="9"/>
      <c r="J909" s="9"/>
      <c r="K909" s="1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7"/>
      <c r="B910" s="8"/>
      <c r="C910" s="8"/>
      <c r="D910" s="8"/>
      <c r="E910" s="8"/>
      <c r="F910" s="8"/>
      <c r="G910" s="8"/>
      <c r="H910" s="8"/>
      <c r="I910" s="9"/>
      <c r="J910" s="9"/>
      <c r="K910" s="1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7"/>
      <c r="B911" s="8"/>
      <c r="C911" s="8"/>
      <c r="D911" s="8"/>
      <c r="E911" s="8"/>
      <c r="F911" s="8"/>
      <c r="G911" s="8"/>
      <c r="H911" s="8"/>
      <c r="I911" s="9"/>
      <c r="J911" s="9"/>
      <c r="K911" s="1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7"/>
      <c r="B912" s="8"/>
      <c r="C912" s="8"/>
      <c r="D912" s="8"/>
      <c r="E912" s="8"/>
      <c r="F912" s="8"/>
      <c r="G912" s="8"/>
      <c r="H912" s="8"/>
      <c r="I912" s="9"/>
      <c r="J912" s="9"/>
      <c r="K912" s="1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7"/>
      <c r="B913" s="8"/>
      <c r="C913" s="8"/>
      <c r="D913" s="8"/>
      <c r="E913" s="8"/>
      <c r="F913" s="8"/>
      <c r="G913" s="8"/>
      <c r="H913" s="8"/>
      <c r="I913" s="9"/>
      <c r="J913" s="9"/>
      <c r="K913" s="1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7"/>
      <c r="B914" s="8"/>
      <c r="C914" s="8"/>
      <c r="D914" s="8"/>
      <c r="E914" s="8"/>
      <c r="F914" s="8"/>
      <c r="G914" s="8"/>
      <c r="H914" s="8"/>
      <c r="I914" s="9"/>
      <c r="J914" s="9"/>
      <c r="K914" s="1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7"/>
      <c r="B915" s="8"/>
      <c r="C915" s="8"/>
      <c r="D915" s="8"/>
      <c r="E915" s="8"/>
      <c r="F915" s="8"/>
      <c r="G915" s="8"/>
      <c r="H915" s="8"/>
      <c r="I915" s="9"/>
      <c r="J915" s="9"/>
      <c r="K915" s="1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7"/>
      <c r="B916" s="8"/>
      <c r="C916" s="8"/>
      <c r="D916" s="8"/>
      <c r="E916" s="8"/>
      <c r="F916" s="8"/>
      <c r="G916" s="8"/>
      <c r="H916" s="8"/>
      <c r="I916" s="9"/>
      <c r="J916" s="9"/>
      <c r="K916" s="1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7"/>
      <c r="B917" s="8"/>
      <c r="C917" s="8"/>
      <c r="D917" s="8"/>
      <c r="E917" s="8"/>
      <c r="F917" s="8"/>
      <c r="G917" s="8"/>
      <c r="H917" s="8"/>
      <c r="I917" s="9"/>
      <c r="J917" s="9"/>
      <c r="K917" s="1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7"/>
      <c r="B918" s="8"/>
      <c r="C918" s="8"/>
      <c r="D918" s="8"/>
      <c r="E918" s="8"/>
      <c r="F918" s="8"/>
      <c r="G918" s="8"/>
      <c r="H918" s="8"/>
      <c r="I918" s="9"/>
      <c r="J918" s="9"/>
      <c r="K918" s="1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7"/>
      <c r="B919" s="8"/>
      <c r="C919" s="8"/>
      <c r="D919" s="8"/>
      <c r="E919" s="8"/>
      <c r="F919" s="8"/>
      <c r="G919" s="8"/>
      <c r="H919" s="8"/>
      <c r="I919" s="9"/>
      <c r="J919" s="9"/>
      <c r="K919" s="1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7"/>
      <c r="B920" s="8"/>
      <c r="C920" s="8"/>
      <c r="D920" s="8"/>
      <c r="E920" s="8"/>
      <c r="F920" s="8"/>
      <c r="G920" s="8"/>
      <c r="H920" s="8"/>
      <c r="I920" s="9"/>
      <c r="J920" s="9"/>
      <c r="K920" s="1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7"/>
      <c r="B921" s="8"/>
      <c r="C921" s="8"/>
      <c r="D921" s="8"/>
      <c r="E921" s="8"/>
      <c r="F921" s="8"/>
      <c r="G921" s="8"/>
      <c r="H921" s="8"/>
      <c r="I921" s="9"/>
      <c r="J921" s="9"/>
      <c r="K921" s="1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7"/>
      <c r="B922" s="8"/>
      <c r="C922" s="8"/>
      <c r="D922" s="8"/>
      <c r="E922" s="8"/>
      <c r="F922" s="8"/>
      <c r="G922" s="8"/>
      <c r="H922" s="8"/>
      <c r="I922" s="9"/>
      <c r="J922" s="9"/>
      <c r="K922" s="1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7"/>
      <c r="B923" s="8"/>
      <c r="C923" s="8"/>
      <c r="D923" s="8"/>
      <c r="E923" s="8"/>
      <c r="F923" s="8"/>
      <c r="G923" s="8"/>
      <c r="H923" s="8"/>
      <c r="I923" s="9"/>
      <c r="J923" s="9"/>
      <c r="K923" s="1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7"/>
      <c r="B924" s="8"/>
      <c r="C924" s="8"/>
      <c r="D924" s="8"/>
      <c r="E924" s="8"/>
      <c r="F924" s="8"/>
      <c r="G924" s="8"/>
      <c r="H924" s="8"/>
      <c r="I924" s="9"/>
      <c r="J924" s="9"/>
      <c r="K924" s="1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7"/>
      <c r="B925" s="8"/>
      <c r="C925" s="8"/>
      <c r="D925" s="8"/>
      <c r="E925" s="8"/>
      <c r="F925" s="8"/>
      <c r="G925" s="8"/>
      <c r="H925" s="8"/>
      <c r="I925" s="9"/>
      <c r="J925" s="9"/>
      <c r="K925" s="1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7"/>
      <c r="B926" s="8"/>
      <c r="C926" s="8"/>
      <c r="D926" s="8"/>
      <c r="E926" s="8"/>
      <c r="F926" s="8"/>
      <c r="G926" s="8"/>
      <c r="H926" s="8"/>
      <c r="I926" s="9"/>
      <c r="J926" s="9"/>
      <c r="K926" s="1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7"/>
      <c r="B927" s="8"/>
      <c r="C927" s="8"/>
      <c r="D927" s="8"/>
      <c r="E927" s="8"/>
      <c r="F927" s="8"/>
      <c r="G927" s="8"/>
      <c r="H927" s="8"/>
      <c r="I927" s="9"/>
      <c r="J927" s="9"/>
      <c r="K927" s="1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7"/>
      <c r="B928" s="8"/>
      <c r="C928" s="8"/>
      <c r="D928" s="8"/>
      <c r="E928" s="8"/>
      <c r="F928" s="8"/>
      <c r="G928" s="8"/>
      <c r="H928" s="8"/>
      <c r="I928" s="9"/>
      <c r="J928" s="9"/>
      <c r="K928" s="1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7"/>
      <c r="B929" s="8"/>
      <c r="C929" s="8"/>
      <c r="D929" s="8"/>
      <c r="E929" s="8"/>
      <c r="F929" s="8"/>
      <c r="G929" s="8"/>
      <c r="H929" s="8"/>
      <c r="I929" s="9"/>
      <c r="J929" s="9"/>
      <c r="K929" s="1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7"/>
      <c r="B930" s="8"/>
      <c r="C930" s="8"/>
      <c r="D930" s="8"/>
      <c r="E930" s="8"/>
      <c r="F930" s="8"/>
      <c r="G930" s="8"/>
      <c r="H930" s="8"/>
      <c r="I930" s="9"/>
      <c r="J930" s="9"/>
      <c r="K930" s="1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7"/>
      <c r="B931" s="8"/>
      <c r="C931" s="8"/>
      <c r="D931" s="8"/>
      <c r="E931" s="8"/>
      <c r="F931" s="8"/>
      <c r="G931" s="8"/>
      <c r="H931" s="8"/>
      <c r="I931" s="9"/>
      <c r="J931" s="9"/>
      <c r="K931" s="1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7"/>
      <c r="B932" s="8"/>
      <c r="C932" s="8"/>
      <c r="D932" s="8"/>
      <c r="E932" s="8"/>
      <c r="F932" s="8"/>
      <c r="G932" s="8"/>
      <c r="H932" s="8"/>
      <c r="I932" s="9"/>
      <c r="J932" s="9"/>
      <c r="K932" s="1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7"/>
      <c r="B933" s="8"/>
      <c r="C933" s="8"/>
      <c r="D933" s="8"/>
      <c r="E933" s="8"/>
      <c r="F933" s="8"/>
      <c r="G933" s="8"/>
      <c r="H933" s="8"/>
      <c r="I933" s="9"/>
      <c r="J933" s="9"/>
      <c r="K933" s="1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7"/>
      <c r="B934" s="8"/>
      <c r="C934" s="8"/>
      <c r="D934" s="8"/>
      <c r="E934" s="8"/>
      <c r="F934" s="8"/>
      <c r="G934" s="8"/>
      <c r="H934" s="8"/>
      <c r="I934" s="9"/>
      <c r="J934" s="9"/>
      <c r="K934" s="1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7"/>
      <c r="B935" s="8"/>
      <c r="C935" s="8"/>
      <c r="D935" s="8"/>
      <c r="E935" s="8"/>
      <c r="F935" s="8"/>
      <c r="G935" s="8"/>
      <c r="H935" s="8"/>
      <c r="I935" s="9"/>
      <c r="J935" s="9"/>
      <c r="K935" s="1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7"/>
      <c r="B936" s="8"/>
      <c r="C936" s="8"/>
      <c r="D936" s="8"/>
      <c r="E936" s="8"/>
      <c r="F936" s="8"/>
      <c r="G936" s="8"/>
      <c r="H936" s="8"/>
      <c r="I936" s="9"/>
      <c r="J936" s="9"/>
      <c r="K936" s="1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7"/>
      <c r="B937" s="8"/>
      <c r="C937" s="8"/>
      <c r="D937" s="8"/>
      <c r="E937" s="8"/>
      <c r="F937" s="8"/>
      <c r="G937" s="8"/>
      <c r="H937" s="8"/>
      <c r="I937" s="9"/>
      <c r="J937" s="9"/>
      <c r="K937" s="1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7"/>
      <c r="B938" s="8"/>
      <c r="C938" s="8"/>
      <c r="D938" s="8"/>
      <c r="E938" s="8"/>
      <c r="F938" s="8"/>
      <c r="G938" s="8"/>
      <c r="H938" s="8"/>
      <c r="I938" s="9"/>
      <c r="J938" s="9"/>
      <c r="K938" s="1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7"/>
      <c r="B939" s="8"/>
      <c r="C939" s="8"/>
      <c r="D939" s="8"/>
      <c r="E939" s="8"/>
      <c r="F939" s="8"/>
      <c r="G939" s="8"/>
      <c r="H939" s="8"/>
      <c r="I939" s="9"/>
      <c r="J939" s="9"/>
      <c r="K939" s="1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7"/>
      <c r="B940" s="8"/>
      <c r="C940" s="8"/>
      <c r="D940" s="8"/>
      <c r="E940" s="8"/>
      <c r="F940" s="8"/>
      <c r="G940" s="8"/>
      <c r="H940" s="8"/>
      <c r="I940" s="9"/>
      <c r="J940" s="9"/>
      <c r="K940" s="1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7"/>
      <c r="B941" s="8"/>
      <c r="C941" s="8"/>
      <c r="D941" s="8"/>
      <c r="E941" s="8"/>
      <c r="F941" s="8"/>
      <c r="G941" s="8"/>
      <c r="H941" s="8"/>
      <c r="I941" s="9"/>
      <c r="J941" s="9"/>
      <c r="K941" s="1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7"/>
      <c r="B942" s="8"/>
      <c r="C942" s="8"/>
      <c r="D942" s="8"/>
      <c r="E942" s="8"/>
      <c r="F942" s="8"/>
      <c r="G942" s="8"/>
      <c r="H942" s="8"/>
      <c r="I942" s="9"/>
      <c r="J942" s="9"/>
      <c r="K942" s="1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7"/>
      <c r="B943" s="8"/>
      <c r="C943" s="8"/>
      <c r="D943" s="8"/>
      <c r="E943" s="8"/>
      <c r="F943" s="8"/>
      <c r="G943" s="8"/>
      <c r="H943" s="8"/>
      <c r="I943" s="9"/>
      <c r="J943" s="9"/>
      <c r="K943" s="1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7"/>
      <c r="B944" s="8"/>
      <c r="C944" s="8"/>
      <c r="D944" s="8"/>
      <c r="E944" s="8"/>
      <c r="F944" s="8"/>
      <c r="G944" s="8"/>
      <c r="H944" s="8"/>
      <c r="I944" s="9"/>
      <c r="J944" s="9"/>
      <c r="K944" s="1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7"/>
      <c r="B945" s="8"/>
      <c r="C945" s="8"/>
      <c r="D945" s="8"/>
      <c r="E945" s="8"/>
      <c r="F945" s="8"/>
      <c r="G945" s="8"/>
      <c r="H945" s="8"/>
      <c r="I945" s="9"/>
      <c r="J945" s="9"/>
      <c r="K945" s="1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7"/>
      <c r="B946" s="8"/>
      <c r="C946" s="8"/>
      <c r="D946" s="8"/>
      <c r="E946" s="8"/>
      <c r="F946" s="8"/>
      <c r="G946" s="8"/>
      <c r="H946" s="8"/>
      <c r="I946" s="9"/>
      <c r="J946" s="9"/>
      <c r="K946" s="1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7"/>
      <c r="B947" s="8"/>
      <c r="C947" s="8"/>
      <c r="D947" s="8"/>
      <c r="E947" s="8"/>
      <c r="F947" s="8"/>
      <c r="G947" s="8"/>
      <c r="H947" s="8"/>
      <c r="I947" s="9"/>
      <c r="J947" s="9"/>
      <c r="K947" s="1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7"/>
      <c r="B948" s="8"/>
      <c r="C948" s="8"/>
      <c r="D948" s="8"/>
      <c r="E948" s="8"/>
      <c r="F948" s="8"/>
      <c r="G948" s="8"/>
      <c r="H948" s="8"/>
      <c r="I948" s="9"/>
      <c r="J948" s="9"/>
      <c r="K948" s="1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7"/>
      <c r="B949" s="8"/>
      <c r="C949" s="8"/>
      <c r="D949" s="8"/>
      <c r="E949" s="8"/>
      <c r="F949" s="8"/>
      <c r="G949" s="8"/>
      <c r="H949" s="8"/>
      <c r="I949" s="9"/>
      <c r="J949" s="9"/>
      <c r="K949" s="1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7"/>
      <c r="B950" s="8"/>
      <c r="C950" s="8"/>
      <c r="D950" s="8"/>
      <c r="E950" s="8"/>
      <c r="F950" s="8"/>
      <c r="G950" s="8"/>
      <c r="H950" s="8"/>
      <c r="I950" s="9"/>
      <c r="J950" s="9"/>
      <c r="K950" s="1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7"/>
      <c r="B951" s="8"/>
      <c r="C951" s="8"/>
      <c r="D951" s="8"/>
      <c r="E951" s="8"/>
      <c r="F951" s="8"/>
      <c r="G951" s="8"/>
      <c r="H951" s="8"/>
      <c r="I951" s="9"/>
      <c r="J951" s="9"/>
      <c r="K951" s="1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7"/>
      <c r="B952" s="8"/>
      <c r="C952" s="8"/>
      <c r="D952" s="8"/>
      <c r="E952" s="8"/>
      <c r="F952" s="8"/>
      <c r="G952" s="8"/>
      <c r="H952" s="8"/>
      <c r="I952" s="9"/>
      <c r="J952" s="9"/>
      <c r="K952" s="1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7"/>
      <c r="B953" s="8"/>
      <c r="C953" s="8"/>
      <c r="D953" s="8"/>
      <c r="E953" s="8"/>
      <c r="F953" s="8"/>
      <c r="G953" s="8"/>
      <c r="H953" s="8"/>
      <c r="I953" s="9"/>
      <c r="J953" s="9"/>
      <c r="K953" s="1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7"/>
      <c r="B954" s="8"/>
      <c r="C954" s="8"/>
      <c r="D954" s="8"/>
      <c r="E954" s="8"/>
      <c r="F954" s="8"/>
      <c r="G954" s="8"/>
      <c r="H954" s="8"/>
      <c r="I954" s="9"/>
      <c r="J954" s="9"/>
      <c r="K954" s="1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7"/>
      <c r="B955" s="8"/>
      <c r="C955" s="8"/>
      <c r="D955" s="8"/>
      <c r="E955" s="8"/>
      <c r="F955" s="8"/>
      <c r="G955" s="8"/>
      <c r="H955" s="8"/>
      <c r="I955" s="9"/>
      <c r="J955" s="9"/>
      <c r="K955" s="1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7"/>
      <c r="B956" s="8"/>
      <c r="C956" s="8"/>
      <c r="D956" s="8"/>
      <c r="E956" s="8"/>
      <c r="F956" s="8"/>
      <c r="G956" s="8"/>
      <c r="H956" s="8"/>
      <c r="I956" s="9"/>
      <c r="J956" s="9"/>
      <c r="K956" s="1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7"/>
      <c r="B957" s="8"/>
      <c r="C957" s="8"/>
      <c r="D957" s="8"/>
      <c r="E957" s="8"/>
      <c r="F957" s="8"/>
      <c r="G957" s="8"/>
      <c r="H957" s="8"/>
      <c r="I957" s="9"/>
      <c r="J957" s="9"/>
      <c r="K957" s="1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7"/>
      <c r="B958" s="8"/>
      <c r="C958" s="8"/>
      <c r="D958" s="8"/>
      <c r="E958" s="8"/>
      <c r="F958" s="8"/>
      <c r="G958" s="8"/>
      <c r="H958" s="8"/>
      <c r="I958" s="9"/>
      <c r="J958" s="9"/>
      <c r="K958" s="1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7"/>
      <c r="B959" s="8"/>
      <c r="C959" s="8"/>
      <c r="D959" s="8"/>
      <c r="E959" s="8"/>
      <c r="F959" s="8"/>
      <c r="G959" s="8"/>
      <c r="H959" s="8"/>
      <c r="I959" s="9"/>
      <c r="J959" s="9"/>
      <c r="K959" s="1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7"/>
      <c r="B960" s="8"/>
      <c r="C960" s="8"/>
      <c r="D960" s="8"/>
      <c r="E960" s="8"/>
      <c r="F960" s="8"/>
      <c r="G960" s="8"/>
      <c r="H960" s="8"/>
      <c r="I960" s="9"/>
      <c r="J960" s="9"/>
      <c r="K960" s="1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7"/>
      <c r="B961" s="8"/>
      <c r="C961" s="8"/>
      <c r="D961" s="8"/>
      <c r="E961" s="8"/>
      <c r="F961" s="8"/>
      <c r="G961" s="8"/>
      <c r="H961" s="8"/>
      <c r="I961" s="9"/>
      <c r="J961" s="9"/>
      <c r="K961" s="1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7"/>
      <c r="B962" s="8"/>
      <c r="C962" s="8"/>
      <c r="D962" s="8"/>
      <c r="E962" s="8"/>
      <c r="F962" s="8"/>
      <c r="G962" s="8"/>
      <c r="H962" s="8"/>
      <c r="I962" s="9"/>
      <c r="J962" s="9"/>
      <c r="K962" s="1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7"/>
      <c r="B963" s="8"/>
      <c r="C963" s="8"/>
      <c r="D963" s="8"/>
      <c r="E963" s="8"/>
      <c r="F963" s="8"/>
      <c r="G963" s="8"/>
      <c r="H963" s="8"/>
      <c r="I963" s="9"/>
      <c r="J963" s="9"/>
      <c r="K963" s="1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7"/>
      <c r="B964" s="8"/>
      <c r="C964" s="8"/>
      <c r="D964" s="8"/>
      <c r="E964" s="8"/>
      <c r="F964" s="8"/>
      <c r="G964" s="8"/>
      <c r="H964" s="8"/>
      <c r="I964" s="9"/>
      <c r="J964" s="9"/>
      <c r="K964" s="1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7"/>
      <c r="B965" s="8"/>
      <c r="C965" s="8"/>
      <c r="D965" s="8"/>
      <c r="E965" s="8"/>
      <c r="F965" s="8"/>
      <c r="G965" s="8"/>
      <c r="H965" s="8"/>
      <c r="I965" s="9"/>
      <c r="J965" s="9"/>
      <c r="K965" s="1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7"/>
      <c r="B966" s="8"/>
      <c r="C966" s="8"/>
      <c r="D966" s="8"/>
      <c r="E966" s="8"/>
      <c r="F966" s="8"/>
      <c r="G966" s="8"/>
      <c r="H966" s="8"/>
      <c r="I966" s="9"/>
      <c r="J966" s="9"/>
      <c r="K966" s="1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7"/>
      <c r="B967" s="8"/>
      <c r="C967" s="8"/>
      <c r="D967" s="8"/>
      <c r="E967" s="8"/>
      <c r="F967" s="8"/>
      <c r="G967" s="8"/>
      <c r="H967" s="8"/>
      <c r="I967" s="9"/>
      <c r="J967" s="9"/>
      <c r="K967" s="1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7"/>
      <c r="B968" s="8"/>
      <c r="C968" s="8"/>
      <c r="D968" s="8"/>
      <c r="E968" s="8"/>
      <c r="F968" s="8"/>
      <c r="G968" s="8"/>
      <c r="H968" s="8"/>
      <c r="I968" s="9"/>
      <c r="J968" s="9"/>
      <c r="K968" s="1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7"/>
      <c r="B969" s="8"/>
      <c r="C969" s="8"/>
      <c r="D969" s="8"/>
      <c r="E969" s="8"/>
      <c r="F969" s="8"/>
      <c r="G969" s="8"/>
      <c r="H969" s="8"/>
      <c r="I969" s="9"/>
      <c r="J969" s="9"/>
      <c r="K969" s="1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7"/>
      <c r="B970" s="8"/>
      <c r="C970" s="8"/>
      <c r="D970" s="8"/>
      <c r="E970" s="8"/>
      <c r="F970" s="8"/>
      <c r="G970" s="8"/>
      <c r="H970" s="8"/>
      <c r="I970" s="9"/>
      <c r="J970" s="9"/>
      <c r="K970" s="1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7"/>
      <c r="B971" s="8"/>
      <c r="C971" s="8"/>
      <c r="D971" s="8"/>
      <c r="E971" s="8"/>
      <c r="F971" s="8"/>
      <c r="G971" s="8"/>
      <c r="H971" s="8"/>
      <c r="I971" s="9"/>
      <c r="J971" s="9"/>
      <c r="K971" s="1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7"/>
      <c r="B972" s="8"/>
      <c r="C972" s="8"/>
      <c r="D972" s="8"/>
      <c r="E972" s="8"/>
      <c r="F972" s="8"/>
      <c r="G972" s="8"/>
      <c r="H972" s="8"/>
      <c r="I972" s="9"/>
      <c r="J972" s="9"/>
      <c r="K972" s="1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7"/>
      <c r="B973" s="8"/>
      <c r="C973" s="8"/>
      <c r="D973" s="8"/>
      <c r="E973" s="8"/>
      <c r="F973" s="8"/>
      <c r="G973" s="8"/>
      <c r="H973" s="8"/>
      <c r="I973" s="9"/>
      <c r="J973" s="9"/>
      <c r="K973" s="1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7"/>
      <c r="B974" s="8"/>
      <c r="C974" s="8"/>
      <c r="D974" s="8"/>
      <c r="E974" s="8"/>
      <c r="F974" s="8"/>
      <c r="G974" s="8"/>
      <c r="H974" s="8"/>
      <c r="I974" s="9"/>
      <c r="J974" s="9"/>
      <c r="K974" s="1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7"/>
      <c r="B975" s="8"/>
      <c r="C975" s="8"/>
      <c r="D975" s="8"/>
      <c r="E975" s="8"/>
      <c r="F975" s="8"/>
      <c r="G975" s="8"/>
      <c r="H975" s="8"/>
      <c r="I975" s="9"/>
      <c r="J975" s="9"/>
      <c r="K975" s="1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7"/>
      <c r="B976" s="8"/>
      <c r="C976" s="8"/>
      <c r="D976" s="8"/>
      <c r="E976" s="8"/>
      <c r="F976" s="8"/>
      <c r="G976" s="8"/>
      <c r="H976" s="8"/>
      <c r="I976" s="9"/>
      <c r="J976" s="9"/>
      <c r="K976" s="1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7"/>
      <c r="B977" s="8"/>
      <c r="C977" s="8"/>
      <c r="D977" s="8"/>
      <c r="E977" s="8"/>
      <c r="F977" s="8"/>
      <c r="G977" s="8"/>
      <c r="H977" s="8"/>
      <c r="I977" s="9"/>
      <c r="J977" s="9"/>
      <c r="K977" s="1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7"/>
      <c r="B978" s="8"/>
      <c r="C978" s="8"/>
      <c r="D978" s="8"/>
      <c r="E978" s="8"/>
      <c r="F978" s="8"/>
      <c r="G978" s="8"/>
      <c r="H978" s="8"/>
      <c r="I978" s="9"/>
      <c r="J978" s="9"/>
      <c r="K978" s="1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7"/>
      <c r="B979" s="8"/>
      <c r="C979" s="8"/>
      <c r="D979" s="8"/>
      <c r="E979" s="8"/>
      <c r="F979" s="8"/>
      <c r="G979" s="8"/>
      <c r="H979" s="8"/>
      <c r="I979" s="9"/>
      <c r="J979" s="9"/>
      <c r="K979" s="1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7"/>
      <c r="B980" s="8"/>
      <c r="C980" s="8"/>
      <c r="D980" s="8"/>
      <c r="E980" s="8"/>
      <c r="F980" s="8"/>
      <c r="G980" s="8"/>
      <c r="H980" s="8"/>
      <c r="I980" s="9"/>
      <c r="J980" s="9"/>
      <c r="K980" s="1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7"/>
      <c r="B981" s="8"/>
      <c r="C981" s="8"/>
      <c r="D981" s="8"/>
      <c r="E981" s="8"/>
      <c r="F981" s="8"/>
      <c r="G981" s="8"/>
      <c r="H981" s="8"/>
      <c r="I981" s="9"/>
      <c r="J981" s="9"/>
      <c r="K981" s="1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7"/>
      <c r="B982" s="8"/>
      <c r="C982" s="8"/>
      <c r="D982" s="8"/>
      <c r="E982" s="8"/>
      <c r="F982" s="8"/>
      <c r="G982" s="8"/>
      <c r="H982" s="8"/>
      <c r="I982" s="9"/>
      <c r="J982" s="9"/>
      <c r="K982" s="1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7"/>
      <c r="B983" s="8"/>
      <c r="C983" s="8"/>
      <c r="D983" s="8"/>
      <c r="E983" s="8"/>
      <c r="F983" s="8"/>
      <c r="G983" s="8"/>
      <c r="H983" s="8"/>
      <c r="I983" s="9"/>
      <c r="J983" s="9"/>
      <c r="K983" s="1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7"/>
      <c r="B984" s="8"/>
      <c r="C984" s="8"/>
      <c r="D984" s="8"/>
      <c r="E984" s="8"/>
      <c r="F984" s="8"/>
      <c r="G984" s="8"/>
      <c r="H984" s="8"/>
      <c r="I984" s="9"/>
      <c r="J984" s="9"/>
      <c r="K984" s="1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7"/>
      <c r="B985" s="8"/>
      <c r="C985" s="8"/>
      <c r="D985" s="8"/>
      <c r="E985" s="8"/>
      <c r="F985" s="8"/>
      <c r="G985" s="8"/>
      <c r="H985" s="8"/>
      <c r="I985" s="9"/>
      <c r="J985" s="9"/>
      <c r="K985" s="1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7"/>
      <c r="B986" s="8"/>
      <c r="C986" s="8"/>
      <c r="D986" s="8"/>
      <c r="E986" s="8"/>
      <c r="F986" s="8"/>
      <c r="G986" s="8"/>
      <c r="H986" s="8"/>
      <c r="I986" s="9"/>
      <c r="J986" s="9"/>
      <c r="K986" s="1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7"/>
      <c r="B987" s="8"/>
      <c r="C987" s="8"/>
      <c r="D987" s="8"/>
      <c r="E987" s="8"/>
      <c r="F987" s="8"/>
      <c r="G987" s="8"/>
      <c r="H987" s="8"/>
      <c r="I987" s="9"/>
      <c r="J987" s="9"/>
      <c r="K987" s="1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7"/>
      <c r="B988" s="8"/>
      <c r="C988" s="8"/>
      <c r="D988" s="8"/>
      <c r="E988" s="8"/>
      <c r="F988" s="8"/>
      <c r="G988" s="8"/>
      <c r="H988" s="8"/>
      <c r="I988" s="9"/>
      <c r="J988" s="9"/>
      <c r="K988" s="1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7"/>
      <c r="B989" s="8"/>
      <c r="C989" s="8"/>
      <c r="D989" s="8"/>
      <c r="E989" s="8"/>
      <c r="F989" s="8"/>
      <c r="G989" s="8"/>
      <c r="H989" s="8"/>
      <c r="I989" s="9"/>
      <c r="J989" s="9"/>
      <c r="K989" s="1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7"/>
      <c r="B990" s="8"/>
      <c r="C990" s="8"/>
      <c r="D990" s="8"/>
      <c r="E990" s="8"/>
      <c r="F990" s="8"/>
      <c r="G990" s="8"/>
      <c r="H990" s="8"/>
      <c r="I990" s="9"/>
      <c r="J990" s="9"/>
      <c r="K990" s="1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7"/>
      <c r="B991" s="8"/>
      <c r="C991" s="8"/>
      <c r="D991" s="8"/>
      <c r="E991" s="8"/>
      <c r="F991" s="8"/>
      <c r="G991" s="8"/>
      <c r="H991" s="8"/>
      <c r="I991" s="9"/>
      <c r="J991" s="9"/>
      <c r="K991" s="1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7"/>
      <c r="B992" s="8"/>
      <c r="C992" s="8"/>
      <c r="D992" s="8"/>
      <c r="E992" s="8"/>
      <c r="F992" s="8"/>
      <c r="G992" s="8"/>
      <c r="H992" s="8"/>
      <c r="I992" s="9"/>
      <c r="J992" s="9"/>
      <c r="K992" s="1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7"/>
      <c r="B993" s="8"/>
      <c r="C993" s="8"/>
      <c r="D993" s="8"/>
      <c r="E993" s="8"/>
      <c r="F993" s="8"/>
      <c r="G993" s="8"/>
      <c r="H993" s="8"/>
      <c r="I993" s="9"/>
      <c r="J993" s="9"/>
      <c r="K993" s="1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7"/>
      <c r="B994" s="8"/>
      <c r="C994" s="8"/>
      <c r="D994" s="8"/>
      <c r="E994" s="8"/>
      <c r="F994" s="8"/>
      <c r="G994" s="8"/>
      <c r="H994" s="8"/>
      <c r="I994" s="9"/>
      <c r="J994" s="9"/>
      <c r="K994" s="1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7"/>
      <c r="B995" s="8"/>
      <c r="C995" s="8"/>
      <c r="D995" s="8"/>
      <c r="E995" s="8"/>
      <c r="F995" s="8"/>
      <c r="G995" s="8"/>
      <c r="H995" s="8"/>
      <c r="I995" s="9"/>
      <c r="J995" s="9"/>
      <c r="K995" s="1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7"/>
      <c r="B996" s="8"/>
      <c r="C996" s="8"/>
      <c r="D996" s="8"/>
      <c r="E996" s="8"/>
      <c r="F996" s="8"/>
      <c r="G996" s="8"/>
      <c r="H996" s="8"/>
      <c r="I996" s="9"/>
      <c r="J996" s="9"/>
      <c r="K996" s="1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7"/>
      <c r="B997" s="8"/>
      <c r="C997" s="8"/>
      <c r="D997" s="8"/>
      <c r="E997" s="8"/>
      <c r="F997" s="8"/>
      <c r="G997" s="8"/>
      <c r="H997" s="8"/>
      <c r="I997" s="9"/>
      <c r="J997" s="9"/>
      <c r="K997" s="1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7"/>
      <c r="B998" s="8"/>
      <c r="C998" s="8"/>
      <c r="D998" s="8"/>
      <c r="E998" s="8"/>
      <c r="F998" s="8"/>
      <c r="G998" s="8"/>
      <c r="H998" s="8"/>
      <c r="I998" s="9"/>
      <c r="J998" s="9"/>
      <c r="K998" s="1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7"/>
      <c r="B999" s="8"/>
      <c r="C999" s="8"/>
      <c r="D999" s="8"/>
      <c r="E999" s="8"/>
      <c r="F999" s="8"/>
      <c r="G999" s="8"/>
      <c r="H999" s="8"/>
      <c r="I999" s="9"/>
      <c r="J999" s="9"/>
      <c r="K999" s="1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7"/>
      <c r="B1000" s="8"/>
      <c r="C1000" s="8"/>
      <c r="D1000" s="8"/>
      <c r="E1000" s="8"/>
      <c r="F1000" s="8"/>
      <c r="G1000" s="8"/>
      <c r="H1000" s="8"/>
      <c r="I1000" s="9"/>
      <c r="J1000" s="9"/>
      <c r="K1000" s="1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7"/>
      <c r="B1001" s="8"/>
      <c r="C1001" s="8"/>
      <c r="D1001" s="8"/>
      <c r="E1001" s="8"/>
      <c r="F1001" s="8"/>
      <c r="G1001" s="8"/>
      <c r="H1001" s="8"/>
      <c r="I1001" s="9"/>
      <c r="J1001" s="9"/>
      <c r="K1001" s="18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4.25" customHeight="1">
      <c r="A1002" s="7"/>
      <c r="B1002" s="8"/>
      <c r="C1002" s="8"/>
      <c r="D1002" s="8"/>
      <c r="E1002" s="8"/>
      <c r="F1002" s="8"/>
      <c r="G1002" s="8"/>
      <c r="H1002" s="8"/>
      <c r="I1002" s="9"/>
      <c r="J1002" s="9"/>
      <c r="K1002" s="18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4.25" customHeight="1">
      <c r="A1003" s="7"/>
      <c r="B1003" s="8"/>
      <c r="C1003" s="8"/>
      <c r="D1003" s="8"/>
      <c r="E1003" s="8"/>
      <c r="F1003" s="8"/>
      <c r="G1003" s="8"/>
      <c r="H1003" s="8"/>
      <c r="I1003" s="9"/>
      <c r="J1003" s="9"/>
      <c r="K1003" s="18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4.25" customHeight="1">
      <c r="A1004" s="7"/>
      <c r="B1004" s="8"/>
      <c r="C1004" s="8"/>
      <c r="D1004" s="8"/>
      <c r="E1004" s="8"/>
      <c r="F1004" s="8"/>
      <c r="G1004" s="8"/>
      <c r="H1004" s="8"/>
      <c r="I1004" s="9"/>
      <c r="J1004" s="9"/>
      <c r="K1004" s="18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4.25" customHeight="1">
      <c r="A1005" s="7"/>
      <c r="B1005" s="8"/>
      <c r="C1005" s="8"/>
      <c r="D1005" s="8"/>
      <c r="E1005" s="8"/>
      <c r="F1005" s="8"/>
      <c r="G1005" s="8"/>
      <c r="H1005" s="8"/>
      <c r="I1005" s="9"/>
      <c r="J1005" s="9"/>
      <c r="K1005" s="18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4.25" customHeight="1">
      <c r="A1006" s="7"/>
      <c r="B1006" s="8"/>
      <c r="C1006" s="8"/>
      <c r="D1006" s="8"/>
      <c r="E1006" s="8"/>
      <c r="F1006" s="8"/>
      <c r="G1006" s="8"/>
      <c r="H1006" s="8"/>
      <c r="I1006" s="9"/>
      <c r="J1006" s="9"/>
      <c r="K1006" s="18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4.25" customHeight="1">
      <c r="A1007" s="7"/>
      <c r="B1007" s="8"/>
      <c r="C1007" s="8"/>
      <c r="D1007" s="8"/>
      <c r="E1007" s="8"/>
      <c r="F1007" s="8"/>
      <c r="G1007" s="8"/>
      <c r="H1007" s="8"/>
      <c r="I1007" s="9"/>
      <c r="J1007" s="9"/>
      <c r="K1007" s="18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4.25" customHeight="1">
      <c r="A1008" s="7"/>
      <c r="B1008" s="8"/>
      <c r="C1008" s="8"/>
      <c r="D1008" s="8"/>
      <c r="E1008" s="8"/>
      <c r="F1008" s="8"/>
      <c r="G1008" s="8"/>
      <c r="H1008" s="8"/>
      <c r="I1008" s="9"/>
      <c r="J1008" s="9"/>
      <c r="K1008" s="18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4.25" customHeight="1">
      <c r="A1009" s="7"/>
      <c r="B1009" s="8"/>
      <c r="C1009" s="8"/>
      <c r="D1009" s="8"/>
      <c r="E1009" s="8"/>
      <c r="F1009" s="8"/>
      <c r="G1009" s="8"/>
      <c r="H1009" s="8"/>
      <c r="I1009" s="9"/>
      <c r="J1009" s="9"/>
      <c r="K1009" s="18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4.25" customHeight="1">
      <c r="A1010" s="7"/>
      <c r="B1010" s="8"/>
      <c r="C1010" s="8"/>
      <c r="D1010" s="8"/>
      <c r="E1010" s="8"/>
      <c r="F1010" s="8"/>
      <c r="G1010" s="8"/>
      <c r="H1010" s="8"/>
      <c r="I1010" s="9"/>
      <c r="J1010" s="9"/>
      <c r="K1010" s="18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4.25" customHeight="1">
      <c r="A1011" s="7"/>
      <c r="B1011" s="8"/>
      <c r="C1011" s="8"/>
      <c r="D1011" s="8"/>
      <c r="E1011" s="8"/>
      <c r="F1011" s="8"/>
      <c r="G1011" s="8"/>
      <c r="H1011" s="8"/>
      <c r="I1011" s="9"/>
      <c r="J1011" s="9"/>
      <c r="K1011" s="18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4.25" customHeight="1">
      <c r="A1012" s="7"/>
      <c r="B1012" s="8"/>
      <c r="C1012" s="8"/>
      <c r="D1012" s="8"/>
      <c r="E1012" s="8"/>
      <c r="F1012" s="8"/>
      <c r="G1012" s="8"/>
      <c r="H1012" s="8"/>
      <c r="I1012" s="9"/>
      <c r="J1012" s="9"/>
      <c r="K1012" s="18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4.25" customHeight="1">
      <c r="A1013" s="7"/>
      <c r="B1013" s="8"/>
      <c r="C1013" s="8"/>
      <c r="D1013" s="8"/>
      <c r="E1013" s="8"/>
      <c r="F1013" s="8"/>
      <c r="G1013" s="8"/>
      <c r="H1013" s="8"/>
      <c r="I1013" s="9"/>
      <c r="J1013" s="9"/>
      <c r="K1013" s="18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ht="14.25" customHeight="1">
      <c r="A1014" s="7"/>
      <c r="B1014" s="8"/>
      <c r="C1014" s="8"/>
      <c r="D1014" s="8"/>
      <c r="E1014" s="8"/>
      <c r="F1014" s="8"/>
      <c r="G1014" s="8"/>
      <c r="H1014" s="8"/>
      <c r="I1014" s="9"/>
      <c r="J1014" s="9"/>
      <c r="K1014" s="18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ht="14.25" customHeight="1">
      <c r="A1015" s="7"/>
      <c r="B1015" s="8"/>
      <c r="C1015" s="8"/>
      <c r="D1015" s="8"/>
      <c r="E1015" s="8"/>
      <c r="F1015" s="8"/>
      <c r="G1015" s="8"/>
      <c r="H1015" s="8"/>
      <c r="I1015" s="9"/>
      <c r="J1015" s="9"/>
      <c r="K1015" s="18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ht="14.25" customHeight="1">
      <c r="A1016" s="7"/>
      <c r="B1016" s="8"/>
      <c r="C1016" s="8"/>
      <c r="D1016" s="8"/>
      <c r="E1016" s="8"/>
      <c r="F1016" s="8"/>
      <c r="G1016" s="8"/>
      <c r="H1016" s="8"/>
      <c r="I1016" s="9"/>
      <c r="J1016" s="9"/>
      <c r="K1016" s="18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ht="14.25" customHeight="1">
      <c r="A1017" s="7"/>
      <c r="B1017" s="8"/>
      <c r="C1017" s="8"/>
      <c r="D1017" s="8"/>
      <c r="E1017" s="8"/>
      <c r="F1017" s="8"/>
      <c r="G1017" s="8"/>
      <c r="H1017" s="8"/>
      <c r="I1017" s="9"/>
      <c r="J1017" s="9"/>
      <c r="K1017" s="18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ht="14.25" customHeight="1">
      <c r="A1018" s="7"/>
      <c r="B1018" s="8"/>
      <c r="C1018" s="8"/>
      <c r="D1018" s="8"/>
      <c r="E1018" s="8"/>
      <c r="F1018" s="8"/>
      <c r="G1018" s="8"/>
      <c r="H1018" s="8"/>
      <c r="I1018" s="9"/>
      <c r="J1018" s="9"/>
      <c r="K1018" s="18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ht="14.25" customHeight="1">
      <c r="A1019" s="7"/>
      <c r="B1019" s="8"/>
      <c r="C1019" s="8"/>
      <c r="D1019" s="8"/>
      <c r="E1019" s="8"/>
      <c r="F1019" s="8"/>
      <c r="G1019" s="8"/>
      <c r="H1019" s="8"/>
      <c r="I1019" s="9"/>
      <c r="J1019" s="9"/>
      <c r="K1019" s="18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ht="14.25" customHeight="1">
      <c r="A1020" s="7"/>
      <c r="B1020" s="8"/>
      <c r="C1020" s="8"/>
      <c r="D1020" s="8"/>
      <c r="E1020" s="8"/>
      <c r="F1020" s="8"/>
      <c r="G1020" s="8"/>
      <c r="H1020" s="8"/>
      <c r="I1020" s="9"/>
      <c r="J1020" s="9"/>
      <c r="K1020" s="18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ht="14.25" customHeight="1">
      <c r="A1021" s="7"/>
      <c r="B1021" s="8"/>
      <c r="C1021" s="8"/>
      <c r="D1021" s="8"/>
      <c r="E1021" s="8"/>
      <c r="F1021" s="8"/>
      <c r="G1021" s="8"/>
      <c r="H1021" s="8"/>
      <c r="I1021" s="9"/>
      <c r="J1021" s="9"/>
      <c r="K1021" s="18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ht="14.25" customHeight="1">
      <c r="A1022" s="7"/>
      <c r="B1022" s="8"/>
      <c r="C1022" s="8"/>
      <c r="D1022" s="8"/>
      <c r="E1022" s="8"/>
      <c r="F1022" s="8"/>
      <c r="G1022" s="8"/>
      <c r="H1022" s="8"/>
      <c r="I1022" s="9"/>
      <c r="J1022" s="9"/>
      <c r="K1022" s="18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ht="14.25" customHeight="1">
      <c r="A1023" s="7"/>
      <c r="B1023" s="8"/>
      <c r="C1023" s="8"/>
      <c r="D1023" s="8"/>
      <c r="E1023" s="8"/>
      <c r="F1023" s="8"/>
      <c r="G1023" s="8"/>
      <c r="H1023" s="8"/>
      <c r="I1023" s="9"/>
      <c r="J1023" s="9"/>
      <c r="K1023" s="18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ht="14.25" customHeight="1">
      <c r="A1024" s="7"/>
      <c r="B1024" s="8"/>
      <c r="C1024" s="8"/>
      <c r="D1024" s="8"/>
      <c r="E1024" s="8"/>
      <c r="F1024" s="8"/>
      <c r="G1024" s="8"/>
      <c r="H1024" s="8"/>
      <c r="I1024" s="9"/>
      <c r="J1024" s="9"/>
      <c r="K1024" s="18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ht="14.25" customHeight="1">
      <c r="A1025" s="7"/>
      <c r="B1025" s="8"/>
      <c r="C1025" s="8"/>
      <c r="D1025" s="8"/>
      <c r="E1025" s="8"/>
      <c r="F1025" s="8"/>
      <c r="G1025" s="8"/>
      <c r="H1025" s="8"/>
      <c r="I1025" s="9"/>
      <c r="J1025" s="9"/>
      <c r="K1025" s="18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ht="14.25" customHeight="1">
      <c r="A1026" s="7"/>
      <c r="B1026" s="8"/>
      <c r="C1026" s="8"/>
      <c r="D1026" s="8"/>
      <c r="E1026" s="8"/>
      <c r="F1026" s="8"/>
      <c r="G1026" s="8"/>
      <c r="H1026" s="8"/>
      <c r="I1026" s="9"/>
      <c r="J1026" s="9"/>
      <c r="K1026" s="18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ht="14.25" customHeight="1">
      <c r="A1027" s="7"/>
      <c r="B1027" s="8"/>
      <c r="C1027" s="8"/>
      <c r="D1027" s="8"/>
      <c r="E1027" s="8"/>
      <c r="F1027" s="8"/>
      <c r="G1027" s="8"/>
      <c r="H1027" s="8"/>
      <c r="I1027" s="9"/>
      <c r="J1027" s="9"/>
      <c r="K1027" s="18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ht="14.25" customHeight="1">
      <c r="A1028" s="7"/>
      <c r="B1028" s="8"/>
      <c r="C1028" s="8"/>
      <c r="D1028" s="8"/>
      <c r="E1028" s="8"/>
      <c r="F1028" s="8"/>
      <c r="G1028" s="8"/>
      <c r="H1028" s="8"/>
      <c r="I1028" s="9"/>
      <c r="J1028" s="9"/>
      <c r="K1028" s="18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ht="14.25" customHeight="1">
      <c r="A1029" s="7"/>
      <c r="B1029" s="8"/>
      <c r="C1029" s="8"/>
      <c r="D1029" s="8"/>
      <c r="E1029" s="8"/>
      <c r="F1029" s="8"/>
      <c r="G1029" s="8"/>
      <c r="H1029" s="8"/>
      <c r="I1029" s="9"/>
      <c r="J1029" s="9"/>
      <c r="K1029" s="18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ht="14.25" customHeight="1">
      <c r="A1030" s="7"/>
      <c r="B1030" s="8"/>
      <c r="C1030" s="8"/>
      <c r="D1030" s="8"/>
      <c r="E1030" s="8"/>
      <c r="F1030" s="8"/>
      <c r="G1030" s="8"/>
      <c r="H1030" s="8"/>
      <c r="I1030" s="9"/>
      <c r="J1030" s="9"/>
      <c r="K1030" s="18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ht="14.25" customHeight="1">
      <c r="A1031" s="7"/>
      <c r="B1031" s="8"/>
      <c r="C1031" s="8"/>
      <c r="D1031" s="8"/>
      <c r="E1031" s="8"/>
      <c r="F1031" s="8"/>
      <c r="G1031" s="8"/>
      <c r="H1031" s="8"/>
      <c r="I1031" s="9"/>
      <c r="J1031" s="9"/>
      <c r="K1031" s="18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ht="14.25" customHeight="1">
      <c r="A1032" s="7"/>
      <c r="B1032" s="8"/>
      <c r="C1032" s="8"/>
      <c r="D1032" s="8"/>
      <c r="E1032" s="8"/>
      <c r="F1032" s="8"/>
      <c r="G1032" s="8"/>
      <c r="H1032" s="8"/>
      <c r="I1032" s="9"/>
      <c r="J1032" s="9"/>
      <c r="K1032" s="18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ht="14.25" customHeight="1">
      <c r="A1033" s="7"/>
      <c r="B1033" s="8"/>
      <c r="C1033" s="8"/>
      <c r="D1033" s="8"/>
      <c r="E1033" s="8"/>
      <c r="F1033" s="8"/>
      <c r="G1033" s="8"/>
      <c r="H1033" s="8"/>
      <c r="I1033" s="9"/>
      <c r="J1033" s="9"/>
      <c r="K1033" s="18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ht="14.25" customHeight="1">
      <c r="A1034" s="7"/>
      <c r="B1034" s="8"/>
      <c r="C1034" s="8"/>
      <c r="D1034" s="8"/>
      <c r="E1034" s="8"/>
      <c r="F1034" s="8"/>
      <c r="G1034" s="8"/>
      <c r="H1034" s="8"/>
      <c r="I1034" s="9"/>
      <c r="J1034" s="9"/>
      <c r="K1034" s="18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ht="14.25" customHeight="1">
      <c r="A1035" s="7"/>
      <c r="B1035" s="8"/>
      <c r="C1035" s="8"/>
      <c r="D1035" s="8"/>
      <c r="E1035" s="8"/>
      <c r="F1035" s="8"/>
      <c r="G1035" s="8"/>
      <c r="H1035" s="8"/>
      <c r="I1035" s="9"/>
      <c r="J1035" s="9"/>
      <c r="K1035" s="18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ht="14.25" customHeight="1">
      <c r="A1036" s="7"/>
      <c r="B1036" s="8"/>
      <c r="C1036" s="8"/>
      <c r="D1036" s="8"/>
      <c r="E1036" s="8"/>
      <c r="F1036" s="8"/>
      <c r="G1036" s="8"/>
      <c r="H1036" s="8"/>
      <c r="I1036" s="9"/>
      <c r="J1036" s="9"/>
      <c r="K1036" s="18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ht="14.25" customHeight="1">
      <c r="A1037" s="7"/>
      <c r="B1037" s="8"/>
      <c r="C1037" s="8"/>
      <c r="D1037" s="8"/>
      <c r="E1037" s="8"/>
      <c r="F1037" s="8"/>
      <c r="G1037" s="8"/>
      <c r="H1037" s="8"/>
      <c r="I1037" s="9"/>
      <c r="J1037" s="9"/>
      <c r="K1037" s="18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ht="14.25" customHeight="1">
      <c r="A1038" s="7"/>
      <c r="B1038" s="8"/>
      <c r="C1038" s="8"/>
      <c r="D1038" s="8"/>
      <c r="E1038" s="8"/>
      <c r="F1038" s="8"/>
      <c r="G1038" s="8"/>
      <c r="H1038" s="8"/>
      <c r="I1038" s="9"/>
      <c r="J1038" s="9"/>
      <c r="K1038" s="18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ht="14.25" customHeight="1">
      <c r="A1039" s="7"/>
      <c r="B1039" s="8"/>
      <c r="C1039" s="8"/>
      <c r="D1039" s="8"/>
      <c r="E1039" s="8"/>
      <c r="F1039" s="8"/>
      <c r="G1039" s="8"/>
      <c r="H1039" s="8"/>
      <c r="I1039" s="9"/>
      <c r="J1039" s="9"/>
      <c r="K1039" s="18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ht="14.25" customHeight="1">
      <c r="A1040" s="7"/>
      <c r="B1040" s="8"/>
      <c r="C1040" s="8"/>
      <c r="D1040" s="8"/>
      <c r="E1040" s="8"/>
      <c r="F1040" s="8"/>
      <c r="G1040" s="8"/>
      <c r="H1040" s="8"/>
      <c r="I1040" s="9"/>
      <c r="J1040" s="9"/>
      <c r="K1040" s="18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ht="14.25" customHeight="1">
      <c r="A1041" s="7"/>
      <c r="B1041" s="8"/>
      <c r="C1041" s="8"/>
      <c r="D1041" s="8"/>
      <c r="E1041" s="8"/>
      <c r="F1041" s="8"/>
      <c r="G1041" s="8"/>
      <c r="H1041" s="8"/>
      <c r="I1041" s="9"/>
      <c r="J1041" s="9"/>
      <c r="K1041" s="18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ht="14.25" customHeight="1">
      <c r="A1042" s="7"/>
      <c r="B1042" s="8"/>
      <c r="C1042" s="8"/>
      <c r="D1042" s="8"/>
      <c r="E1042" s="8"/>
      <c r="F1042" s="8"/>
      <c r="G1042" s="8"/>
      <c r="H1042" s="8"/>
      <c r="I1042" s="9"/>
      <c r="J1042" s="9"/>
      <c r="K1042" s="18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ht="14.25" customHeight="1">
      <c r="A1043" s="7"/>
      <c r="B1043" s="8"/>
      <c r="C1043" s="8"/>
      <c r="D1043" s="8"/>
      <c r="E1043" s="8"/>
      <c r="F1043" s="8"/>
      <c r="G1043" s="8"/>
      <c r="H1043" s="8"/>
      <c r="I1043" s="9"/>
      <c r="J1043" s="9"/>
      <c r="K1043" s="18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ht="14.25" customHeight="1">
      <c r="A1044" s="7"/>
      <c r="B1044" s="8"/>
      <c r="C1044" s="8"/>
      <c r="D1044" s="8"/>
      <c r="E1044" s="8"/>
      <c r="F1044" s="8"/>
      <c r="G1044" s="8"/>
      <c r="H1044" s="8"/>
      <c r="I1044" s="9"/>
      <c r="J1044" s="9"/>
      <c r="K1044" s="18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ht="14.25" customHeight="1">
      <c r="A1045" s="7"/>
      <c r="B1045" s="8"/>
      <c r="C1045" s="8"/>
      <c r="D1045" s="8"/>
      <c r="E1045" s="8"/>
      <c r="F1045" s="8"/>
      <c r="G1045" s="8"/>
      <c r="H1045" s="8"/>
      <c r="I1045" s="9"/>
      <c r="J1045" s="9"/>
      <c r="K1045" s="18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ht="14.25" customHeight="1">
      <c r="A1046" s="7"/>
      <c r="B1046" s="8"/>
      <c r="C1046" s="8"/>
      <c r="D1046" s="8"/>
      <c r="E1046" s="8"/>
      <c r="F1046" s="8"/>
      <c r="G1046" s="8"/>
      <c r="H1046" s="8"/>
      <c r="I1046" s="9"/>
      <c r="J1046" s="9"/>
      <c r="K1046" s="18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ht="14.25" customHeight="1">
      <c r="A1047" s="7"/>
      <c r="B1047" s="8"/>
      <c r="C1047" s="8"/>
      <c r="D1047" s="8"/>
      <c r="E1047" s="8"/>
      <c r="F1047" s="8"/>
      <c r="G1047" s="8"/>
      <c r="H1047" s="8"/>
      <c r="I1047" s="9"/>
      <c r="J1047" s="9"/>
      <c r="K1047" s="18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ht="14.25" customHeight="1">
      <c r="A1048" s="7"/>
      <c r="B1048" s="8"/>
      <c r="C1048" s="8"/>
      <c r="D1048" s="8"/>
      <c r="E1048" s="8"/>
      <c r="F1048" s="8"/>
      <c r="G1048" s="8"/>
      <c r="H1048" s="8"/>
      <c r="I1048" s="9"/>
      <c r="J1048" s="9"/>
      <c r="K1048" s="1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ht="14.25" customHeight="1">
      <c r="A1049" s="7"/>
      <c r="B1049" s="8"/>
      <c r="C1049" s="8"/>
      <c r="D1049" s="8"/>
      <c r="E1049" s="8"/>
      <c r="F1049" s="8"/>
      <c r="G1049" s="8"/>
      <c r="H1049" s="8"/>
      <c r="I1049" s="9"/>
      <c r="J1049" s="9"/>
      <c r="K1049" s="1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ht="14.25" customHeight="1">
      <c r="A1050" s="7"/>
      <c r="B1050" s="8"/>
      <c r="C1050" s="8"/>
      <c r="D1050" s="8"/>
      <c r="E1050" s="8"/>
      <c r="F1050" s="8"/>
      <c r="G1050" s="8"/>
      <c r="H1050" s="8"/>
      <c r="I1050" s="9"/>
      <c r="J1050" s="9"/>
      <c r="K1050" s="1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ht="14.25" customHeight="1">
      <c r="A1051" s="7"/>
      <c r="B1051" s="8"/>
      <c r="C1051" s="8"/>
      <c r="D1051" s="8"/>
      <c r="E1051" s="8"/>
      <c r="F1051" s="8"/>
      <c r="G1051" s="8"/>
      <c r="H1051" s="8"/>
      <c r="I1051" s="9"/>
      <c r="J1051" s="9"/>
      <c r="K1051" s="1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ht="14.25" customHeight="1">
      <c r="A1052" s="7"/>
      <c r="B1052" s="8"/>
      <c r="C1052" s="8"/>
      <c r="D1052" s="8"/>
      <c r="E1052" s="8"/>
      <c r="F1052" s="8"/>
      <c r="G1052" s="8"/>
      <c r="H1052" s="8"/>
      <c r="I1052" s="9"/>
      <c r="J1052" s="9"/>
      <c r="K1052" s="18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ht="14.25" customHeight="1">
      <c r="A1053" s="7"/>
      <c r="B1053" s="8"/>
      <c r="C1053" s="8"/>
      <c r="D1053" s="8"/>
      <c r="E1053" s="8"/>
      <c r="F1053" s="8"/>
      <c r="G1053" s="8"/>
      <c r="H1053" s="8"/>
      <c r="I1053" s="9"/>
      <c r="J1053" s="9"/>
      <c r="K1053" s="18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ht="14.25" customHeight="1">
      <c r="A1054" s="7"/>
      <c r="B1054" s="8"/>
      <c r="C1054" s="8"/>
      <c r="D1054" s="8"/>
      <c r="E1054" s="8"/>
      <c r="F1054" s="8"/>
      <c r="G1054" s="8"/>
      <c r="H1054" s="8"/>
      <c r="I1054" s="9"/>
      <c r="J1054" s="9"/>
      <c r="K1054" s="18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ht="14.25" customHeight="1">
      <c r="A1055" s="7"/>
      <c r="B1055" s="8"/>
      <c r="C1055" s="8"/>
      <c r="D1055" s="8"/>
      <c r="E1055" s="8"/>
      <c r="F1055" s="8"/>
      <c r="G1055" s="8"/>
      <c r="H1055" s="8"/>
      <c r="I1055" s="9"/>
      <c r="J1055" s="9"/>
      <c r="K1055" s="18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ht="14.25" customHeight="1">
      <c r="A1056" s="7"/>
      <c r="B1056" s="8"/>
      <c r="C1056" s="8"/>
      <c r="D1056" s="8"/>
      <c r="E1056" s="8"/>
      <c r="F1056" s="8"/>
      <c r="G1056" s="8"/>
      <c r="H1056" s="8"/>
      <c r="I1056" s="9"/>
      <c r="J1056" s="9"/>
      <c r="K1056" s="18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ht="14.25" customHeight="1">
      <c r="A1057" s="7"/>
      <c r="B1057" s="8"/>
      <c r="C1057" s="8"/>
      <c r="D1057" s="8"/>
      <c r="E1057" s="8"/>
      <c r="F1057" s="8"/>
      <c r="G1057" s="8"/>
      <c r="H1057" s="8"/>
      <c r="I1057" s="9"/>
      <c r="J1057" s="9"/>
      <c r="K1057" s="18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ht="14.25" customHeight="1">
      <c r="A1058" s="7"/>
      <c r="B1058" s="8"/>
      <c r="C1058" s="8"/>
      <c r="D1058" s="8"/>
      <c r="E1058" s="8"/>
      <c r="F1058" s="8"/>
      <c r="G1058" s="8"/>
      <c r="H1058" s="8"/>
      <c r="I1058" s="9"/>
      <c r="J1058" s="9"/>
      <c r="K1058" s="18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ht="14.25" customHeight="1">
      <c r="A1059" s="7"/>
      <c r="B1059" s="8"/>
      <c r="C1059" s="8"/>
      <c r="D1059" s="8"/>
      <c r="E1059" s="8"/>
      <c r="F1059" s="8"/>
      <c r="G1059" s="8"/>
      <c r="H1059" s="8"/>
      <c r="I1059" s="9"/>
      <c r="J1059" s="9"/>
      <c r="K1059" s="18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ht="14.25" customHeight="1">
      <c r="A1060" s="7"/>
      <c r="B1060" s="8"/>
      <c r="C1060" s="8"/>
      <c r="D1060" s="8"/>
      <c r="E1060" s="8"/>
      <c r="F1060" s="8"/>
      <c r="G1060" s="8"/>
      <c r="H1060" s="8"/>
      <c r="I1060" s="9"/>
      <c r="J1060" s="9"/>
      <c r="K1060" s="18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ht="14.25" customHeight="1">
      <c r="A1061" s="7"/>
      <c r="B1061" s="8"/>
      <c r="C1061" s="8"/>
      <c r="D1061" s="8"/>
      <c r="E1061" s="8"/>
      <c r="F1061" s="8"/>
      <c r="G1061" s="8"/>
      <c r="H1061" s="8"/>
      <c r="I1061" s="9"/>
      <c r="J1061" s="9"/>
      <c r="K1061" s="1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ht="14.25" customHeight="1">
      <c r="A1062" s="7"/>
      <c r="B1062" s="8"/>
      <c r="C1062" s="8"/>
      <c r="D1062" s="8"/>
      <c r="E1062" s="8"/>
      <c r="F1062" s="8"/>
      <c r="G1062" s="8"/>
      <c r="H1062" s="8"/>
      <c r="I1062" s="9"/>
      <c r="J1062" s="9"/>
      <c r="K1062" s="1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ht="14.25" customHeight="1">
      <c r="A1063" s="7"/>
      <c r="B1063" s="8"/>
      <c r="C1063" s="8"/>
      <c r="D1063" s="8"/>
      <c r="E1063" s="8"/>
      <c r="F1063" s="8"/>
      <c r="G1063" s="8"/>
      <c r="H1063" s="8"/>
      <c r="I1063" s="9"/>
      <c r="J1063" s="9"/>
      <c r="K1063" s="1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ht="14.25" customHeight="1">
      <c r="A1064" s="7"/>
      <c r="B1064" s="8"/>
      <c r="C1064" s="8"/>
      <c r="D1064" s="8"/>
      <c r="E1064" s="8"/>
      <c r="F1064" s="8"/>
      <c r="G1064" s="8"/>
      <c r="H1064" s="8"/>
      <c r="I1064" s="9"/>
      <c r="J1064" s="9"/>
      <c r="K1064" s="18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ht="14.25" customHeight="1">
      <c r="A1065" s="7"/>
      <c r="B1065" s="8"/>
      <c r="C1065" s="8"/>
      <c r="D1065" s="8"/>
      <c r="E1065" s="8"/>
      <c r="F1065" s="8"/>
      <c r="G1065" s="8"/>
      <c r="H1065" s="8"/>
      <c r="I1065" s="9"/>
      <c r="J1065" s="9"/>
      <c r="K1065" s="18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ht="14.25" customHeight="1">
      <c r="A1066" s="7"/>
      <c r="B1066" s="8"/>
      <c r="C1066" s="8"/>
      <c r="D1066" s="8"/>
      <c r="E1066" s="8"/>
      <c r="F1066" s="8"/>
      <c r="G1066" s="8"/>
      <c r="H1066" s="8"/>
      <c r="I1066" s="9"/>
      <c r="J1066" s="9"/>
      <c r="K1066" s="18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ht="14.25" customHeight="1">
      <c r="A1067" s="7"/>
      <c r="B1067" s="8"/>
      <c r="C1067" s="8"/>
      <c r="D1067" s="8"/>
      <c r="E1067" s="8"/>
      <c r="F1067" s="8"/>
      <c r="G1067" s="8"/>
      <c r="H1067" s="8"/>
      <c r="I1067" s="9"/>
      <c r="J1067" s="9"/>
      <c r="K1067" s="18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ht="14.25" customHeight="1">
      <c r="A1068" s="7"/>
      <c r="B1068" s="8"/>
      <c r="C1068" s="8"/>
      <c r="D1068" s="8"/>
      <c r="E1068" s="8"/>
      <c r="F1068" s="8"/>
      <c r="G1068" s="8"/>
      <c r="H1068" s="8"/>
      <c r="I1068" s="9"/>
      <c r="J1068" s="9"/>
      <c r="K1068" s="18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ht="14.25" customHeight="1">
      <c r="A1069" s="7"/>
      <c r="B1069" s="8"/>
      <c r="C1069" s="8"/>
      <c r="D1069" s="8"/>
      <c r="E1069" s="8"/>
      <c r="F1069" s="8"/>
      <c r="G1069" s="8"/>
      <c r="H1069" s="8"/>
      <c r="I1069" s="9"/>
      <c r="J1069" s="9"/>
      <c r="K1069" s="18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ht="14.25" customHeight="1">
      <c r="A1070" s="7"/>
      <c r="B1070" s="8"/>
      <c r="C1070" s="8"/>
      <c r="D1070" s="8"/>
      <c r="E1070" s="8"/>
      <c r="F1070" s="8"/>
      <c r="G1070" s="8"/>
      <c r="H1070" s="8"/>
      <c r="I1070" s="9"/>
      <c r="J1070" s="9"/>
      <c r="K1070" s="18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ht="14.25" customHeight="1">
      <c r="A1071" s="7"/>
      <c r="B1071" s="8"/>
      <c r="C1071" s="8"/>
      <c r="D1071" s="8"/>
      <c r="E1071" s="8"/>
      <c r="F1071" s="8"/>
      <c r="G1071" s="8"/>
      <c r="H1071" s="8"/>
      <c r="I1071" s="9"/>
      <c r="J1071" s="9"/>
      <c r="K1071" s="18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ht="14.25" customHeight="1">
      <c r="A1072" s="7"/>
      <c r="B1072" s="8"/>
      <c r="C1072" s="8"/>
      <c r="D1072" s="8"/>
      <c r="E1072" s="8"/>
      <c r="F1072" s="8"/>
      <c r="G1072" s="8"/>
      <c r="H1072" s="8"/>
      <c r="I1072" s="9"/>
      <c r="J1072" s="9"/>
      <c r="K1072" s="18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ht="14.25" customHeight="1">
      <c r="A1073" s="7"/>
      <c r="B1073" s="8"/>
      <c r="C1073" s="8"/>
      <c r="D1073" s="8"/>
      <c r="E1073" s="8"/>
      <c r="F1073" s="8"/>
      <c r="G1073" s="8"/>
      <c r="H1073" s="8"/>
      <c r="I1073" s="9"/>
      <c r="J1073" s="9"/>
      <c r="K1073" s="18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ht="14.25" customHeight="1">
      <c r="A1074" s="7"/>
      <c r="B1074" s="8"/>
      <c r="C1074" s="8"/>
      <c r="D1074" s="8"/>
      <c r="E1074" s="8"/>
      <c r="F1074" s="8"/>
      <c r="G1074" s="8"/>
      <c r="H1074" s="8"/>
      <c r="I1074" s="9"/>
      <c r="J1074" s="9"/>
      <c r="K1074" s="18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ht="14.25" customHeight="1">
      <c r="A1075" s="7"/>
      <c r="B1075" s="8"/>
      <c r="C1075" s="8"/>
      <c r="D1075" s="8"/>
      <c r="E1075" s="8"/>
      <c r="F1075" s="8"/>
      <c r="G1075" s="8"/>
      <c r="H1075" s="8"/>
      <c r="I1075" s="9"/>
      <c r="J1075" s="9"/>
      <c r="K1075" s="18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ht="14.25" customHeight="1">
      <c r="A1076" s="7"/>
      <c r="B1076" s="8"/>
      <c r="C1076" s="8"/>
      <c r="D1076" s="8"/>
      <c r="E1076" s="8"/>
      <c r="F1076" s="8"/>
      <c r="G1076" s="8"/>
      <c r="H1076" s="8"/>
      <c r="I1076" s="9"/>
      <c r="J1076" s="9"/>
      <c r="K1076" s="18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ht="14.25" customHeight="1">
      <c r="A1077" s="7"/>
      <c r="B1077" s="8"/>
      <c r="C1077" s="8"/>
      <c r="D1077" s="8"/>
      <c r="E1077" s="8"/>
      <c r="F1077" s="8"/>
      <c r="G1077" s="8"/>
      <c r="H1077" s="8"/>
      <c r="I1077" s="9"/>
      <c r="J1077" s="9"/>
      <c r="K1077" s="18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ht="14.25" customHeight="1">
      <c r="A1078" s="7"/>
      <c r="B1078" s="8"/>
      <c r="C1078" s="8"/>
      <c r="D1078" s="8"/>
      <c r="E1078" s="8"/>
      <c r="F1078" s="8"/>
      <c r="G1078" s="8"/>
      <c r="H1078" s="8"/>
      <c r="I1078" s="9"/>
      <c r="J1078" s="9"/>
      <c r="K1078" s="18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ht="14.25" customHeight="1">
      <c r="A1079" s="7"/>
      <c r="B1079" s="8"/>
      <c r="C1079" s="8"/>
      <c r="D1079" s="8"/>
      <c r="E1079" s="8"/>
      <c r="F1079" s="8"/>
      <c r="G1079" s="8"/>
      <c r="H1079" s="8"/>
      <c r="I1079" s="9"/>
      <c r="J1079" s="9"/>
      <c r="K1079" s="18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ht="14.25" customHeight="1">
      <c r="A1080" s="7"/>
      <c r="B1080" s="8"/>
      <c r="C1080" s="8"/>
      <c r="D1080" s="8"/>
      <c r="E1080" s="8"/>
      <c r="F1080" s="8"/>
      <c r="G1080" s="8"/>
      <c r="H1080" s="8"/>
      <c r="I1080" s="9"/>
      <c r="J1080" s="9"/>
      <c r="K1080" s="18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ht="14.25" customHeight="1">
      <c r="A1081" s="7"/>
      <c r="B1081" s="8"/>
      <c r="C1081" s="8"/>
      <c r="D1081" s="8"/>
      <c r="E1081" s="8"/>
      <c r="F1081" s="8"/>
      <c r="G1081" s="8"/>
      <c r="H1081" s="8"/>
      <c r="I1081" s="9"/>
      <c r="J1081" s="9"/>
      <c r="K1081" s="18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ht="14.25" customHeight="1">
      <c r="A1082" s="7"/>
      <c r="B1082" s="8"/>
      <c r="C1082" s="8"/>
      <c r="D1082" s="8"/>
      <c r="E1082" s="8"/>
      <c r="F1082" s="8"/>
      <c r="G1082" s="8"/>
      <c r="H1082" s="8"/>
      <c r="I1082" s="9"/>
      <c r="J1082" s="9"/>
      <c r="K1082" s="18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ht="14.25" customHeight="1">
      <c r="A1083" s="7"/>
      <c r="B1083" s="8"/>
      <c r="C1083" s="8"/>
      <c r="D1083" s="8"/>
      <c r="E1083" s="8"/>
      <c r="F1083" s="8"/>
      <c r="G1083" s="8"/>
      <c r="H1083" s="8"/>
      <c r="I1083" s="9"/>
      <c r="J1083" s="9"/>
      <c r="K1083" s="18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ht="14.25" customHeight="1">
      <c r="A1084" s="7"/>
      <c r="B1084" s="8"/>
      <c r="C1084" s="8"/>
      <c r="D1084" s="8"/>
      <c r="E1084" s="8"/>
      <c r="F1084" s="8"/>
      <c r="G1084" s="8"/>
      <c r="H1084" s="8"/>
      <c r="I1084" s="9"/>
      <c r="J1084" s="9"/>
      <c r="K1084" s="18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ht="14.25" customHeight="1">
      <c r="A1085" s="7"/>
      <c r="B1085" s="8"/>
      <c r="C1085" s="8"/>
      <c r="D1085" s="8"/>
      <c r="E1085" s="8"/>
      <c r="F1085" s="8"/>
      <c r="G1085" s="8"/>
      <c r="H1085" s="8"/>
      <c r="I1085" s="9"/>
      <c r="J1085" s="9"/>
      <c r="K1085" s="18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ht="14.25" customHeight="1">
      <c r="A1086" s="7"/>
      <c r="B1086" s="8"/>
      <c r="C1086" s="8"/>
      <c r="D1086" s="8"/>
      <c r="E1086" s="8"/>
      <c r="F1086" s="8"/>
      <c r="G1086" s="8"/>
      <c r="H1086" s="8"/>
      <c r="I1086" s="9"/>
      <c r="J1086" s="9"/>
      <c r="K1086" s="18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ht="14.25" customHeight="1">
      <c r="A1087" s="7"/>
      <c r="B1087" s="8"/>
      <c r="C1087" s="8"/>
      <c r="D1087" s="8"/>
      <c r="E1087" s="8"/>
      <c r="F1087" s="8"/>
      <c r="G1087" s="8"/>
      <c r="H1087" s="8"/>
      <c r="I1087" s="9"/>
      <c r="J1087" s="9"/>
      <c r="K1087" s="18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ht="14.25" customHeight="1">
      <c r="A1088" s="7"/>
      <c r="B1088" s="8"/>
      <c r="C1088" s="8"/>
      <c r="D1088" s="8"/>
      <c r="E1088" s="8"/>
      <c r="F1088" s="8"/>
      <c r="G1088" s="8"/>
      <c r="H1088" s="8"/>
      <c r="I1088" s="9"/>
      <c r="J1088" s="9"/>
      <c r="K1088" s="18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ht="14.25" customHeight="1">
      <c r="A1089" s="7"/>
      <c r="B1089" s="8"/>
      <c r="C1089" s="8"/>
      <c r="D1089" s="8"/>
      <c r="E1089" s="8"/>
      <c r="F1089" s="8"/>
      <c r="G1089" s="8"/>
      <c r="H1089" s="8"/>
      <c r="I1089" s="9"/>
      <c r="J1089" s="9"/>
      <c r="K1089" s="18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ht="14.25" customHeight="1">
      <c r="A1090" s="7"/>
      <c r="B1090" s="8"/>
      <c r="C1090" s="8"/>
      <c r="D1090" s="8"/>
      <c r="E1090" s="8"/>
      <c r="F1090" s="8"/>
      <c r="G1090" s="8"/>
      <c r="H1090" s="8"/>
      <c r="I1090" s="9"/>
      <c r="J1090" s="9"/>
      <c r="K1090" s="18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ht="14.25" customHeight="1">
      <c r="A1091" s="7"/>
      <c r="B1091" s="8"/>
      <c r="C1091" s="8"/>
      <c r="D1091" s="8"/>
      <c r="E1091" s="8"/>
      <c r="F1091" s="8"/>
      <c r="G1091" s="8"/>
      <c r="H1091" s="8"/>
      <c r="I1091" s="9"/>
      <c r="J1091" s="9"/>
      <c r="K1091" s="18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ht="14.25" customHeight="1">
      <c r="A1092" s="7"/>
      <c r="B1092" s="8"/>
      <c r="C1092" s="8"/>
      <c r="D1092" s="8"/>
      <c r="E1092" s="8"/>
      <c r="F1092" s="8"/>
      <c r="G1092" s="8"/>
      <c r="H1092" s="8"/>
      <c r="I1092" s="9"/>
      <c r="J1092" s="9"/>
      <c r="K1092" s="18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ht="14.25" customHeight="1">
      <c r="A1093" s="7"/>
      <c r="B1093" s="8"/>
      <c r="C1093" s="8"/>
      <c r="D1093" s="8"/>
      <c r="E1093" s="8"/>
      <c r="F1093" s="8"/>
      <c r="G1093" s="8"/>
      <c r="H1093" s="8"/>
      <c r="I1093" s="9"/>
      <c r="J1093" s="9"/>
      <c r="K1093" s="18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ht="14.25" customHeight="1">
      <c r="A1094" s="7"/>
      <c r="B1094" s="8"/>
      <c r="C1094" s="8"/>
      <c r="D1094" s="8"/>
      <c r="E1094" s="8"/>
      <c r="F1094" s="8"/>
      <c r="G1094" s="8"/>
      <c r="H1094" s="8"/>
      <c r="I1094" s="9"/>
      <c r="J1094" s="9"/>
      <c r="K1094" s="18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ht="14.25" customHeight="1">
      <c r="A1095" s="7"/>
      <c r="B1095" s="8"/>
      <c r="C1095" s="8"/>
      <c r="D1095" s="8"/>
      <c r="E1095" s="8"/>
      <c r="F1095" s="8"/>
      <c r="G1095" s="8"/>
      <c r="H1095" s="8"/>
      <c r="I1095" s="9"/>
      <c r="J1095" s="9"/>
      <c r="K1095" s="18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ht="14.25" customHeight="1">
      <c r="A1096" s="7"/>
      <c r="B1096" s="8"/>
      <c r="C1096" s="8"/>
      <c r="D1096" s="8"/>
      <c r="E1096" s="8"/>
      <c r="F1096" s="8"/>
      <c r="G1096" s="8"/>
      <c r="H1096" s="8"/>
      <c r="I1096" s="9"/>
      <c r="J1096" s="9"/>
      <c r="K1096" s="18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ht="14.25" customHeight="1">
      <c r="A1097" s="7"/>
      <c r="B1097" s="8"/>
      <c r="C1097" s="8"/>
      <c r="D1097" s="8"/>
      <c r="E1097" s="8"/>
      <c r="F1097" s="8"/>
      <c r="G1097" s="8"/>
      <c r="H1097" s="8"/>
      <c r="I1097" s="9"/>
      <c r="J1097" s="9"/>
      <c r="K1097" s="18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ht="14.25" customHeight="1">
      <c r="A1098" s="7"/>
      <c r="B1098" s="8"/>
      <c r="C1098" s="8"/>
      <c r="D1098" s="8"/>
      <c r="E1098" s="8"/>
      <c r="F1098" s="8"/>
      <c r="G1098" s="8"/>
      <c r="H1098" s="8"/>
      <c r="I1098" s="9"/>
      <c r="J1098" s="9"/>
      <c r="K1098" s="18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ht="14.25" customHeight="1">
      <c r="A1099" s="7"/>
      <c r="B1099" s="8"/>
      <c r="C1099" s="8"/>
      <c r="D1099" s="8"/>
      <c r="E1099" s="8"/>
      <c r="F1099" s="8"/>
      <c r="G1099" s="8"/>
      <c r="H1099" s="8"/>
      <c r="I1099" s="9"/>
      <c r="J1099" s="9"/>
      <c r="K1099" s="18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ht="14.25" customHeight="1">
      <c r="A1100" s="7"/>
      <c r="B1100" s="8"/>
      <c r="C1100" s="8"/>
      <c r="D1100" s="8"/>
      <c r="E1100" s="8"/>
      <c r="F1100" s="8"/>
      <c r="G1100" s="8"/>
      <c r="H1100" s="8"/>
      <c r="I1100" s="9"/>
      <c r="J1100" s="9"/>
      <c r="K1100" s="18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ht="14.25" customHeight="1">
      <c r="A1101" s="7"/>
      <c r="B1101" s="8"/>
      <c r="C1101" s="8"/>
      <c r="D1101" s="8"/>
      <c r="E1101" s="8"/>
      <c r="F1101" s="8"/>
      <c r="G1101" s="8"/>
      <c r="H1101" s="8"/>
      <c r="I1101" s="9"/>
      <c r="J1101" s="9"/>
      <c r="K1101" s="18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ht="14.25" customHeight="1">
      <c r="A1102" s="7"/>
      <c r="B1102" s="8"/>
      <c r="C1102" s="8"/>
      <c r="D1102" s="8"/>
      <c r="E1102" s="8"/>
      <c r="F1102" s="8"/>
      <c r="G1102" s="8"/>
      <c r="H1102" s="8"/>
      <c r="I1102" s="9"/>
      <c r="J1102" s="9"/>
      <c r="K1102" s="18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ht="14.25" customHeight="1">
      <c r="A1103" s="7"/>
      <c r="B1103" s="8"/>
      <c r="C1103" s="8"/>
      <c r="D1103" s="8"/>
      <c r="E1103" s="8"/>
      <c r="F1103" s="8"/>
      <c r="G1103" s="8"/>
      <c r="H1103" s="8"/>
      <c r="I1103" s="9"/>
      <c r="J1103" s="9"/>
      <c r="K1103" s="18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ht="14.25" customHeight="1">
      <c r="A1104" s="7"/>
      <c r="B1104" s="8"/>
      <c r="C1104" s="8"/>
      <c r="D1104" s="8"/>
      <c r="E1104" s="8"/>
      <c r="F1104" s="8"/>
      <c r="G1104" s="8"/>
      <c r="H1104" s="8"/>
      <c r="I1104" s="9"/>
      <c r="J1104" s="9"/>
      <c r="K1104" s="18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ht="14.25" customHeight="1">
      <c r="A1105" s="7"/>
      <c r="B1105" s="8"/>
      <c r="C1105" s="8"/>
      <c r="D1105" s="8"/>
      <c r="E1105" s="8"/>
      <c r="F1105" s="8"/>
      <c r="G1105" s="8"/>
      <c r="H1105" s="8"/>
      <c r="I1105" s="9"/>
      <c r="J1105" s="9"/>
      <c r="K1105" s="18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ht="14.25" customHeight="1">
      <c r="A1106" s="7"/>
      <c r="B1106" s="8"/>
      <c r="C1106" s="8"/>
      <c r="D1106" s="8"/>
      <c r="E1106" s="8"/>
      <c r="F1106" s="8"/>
      <c r="G1106" s="8"/>
      <c r="H1106" s="8"/>
      <c r="I1106" s="9"/>
      <c r="J1106" s="9"/>
      <c r="K1106" s="18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ht="14.25" customHeight="1">
      <c r="A1107" s="7"/>
      <c r="B1107" s="8"/>
      <c r="C1107" s="8"/>
      <c r="D1107" s="8"/>
      <c r="E1107" s="8"/>
      <c r="F1107" s="8"/>
      <c r="G1107" s="8"/>
      <c r="H1107" s="8"/>
      <c r="I1107" s="9"/>
      <c r="J1107" s="9"/>
      <c r="K1107" s="18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ht="14.25" customHeight="1">
      <c r="A1108" s="7"/>
      <c r="B1108" s="8"/>
      <c r="C1108" s="8"/>
      <c r="D1108" s="8"/>
      <c r="E1108" s="8"/>
      <c r="F1108" s="8"/>
      <c r="G1108" s="8"/>
      <c r="H1108" s="8"/>
      <c r="I1108" s="9"/>
      <c r="J1108" s="9"/>
      <c r="K1108" s="18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ht="14.25" customHeight="1">
      <c r="A1109" s="7"/>
      <c r="B1109" s="8"/>
      <c r="C1109" s="8"/>
      <c r="D1109" s="8"/>
      <c r="E1109" s="8"/>
      <c r="F1109" s="8"/>
      <c r="G1109" s="8"/>
      <c r="H1109" s="8"/>
      <c r="I1109" s="9"/>
      <c r="J1109" s="9"/>
      <c r="K1109" s="18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ht="14.25" customHeight="1">
      <c r="A1110" s="7"/>
      <c r="B1110" s="8"/>
      <c r="C1110" s="8"/>
      <c r="D1110" s="8"/>
      <c r="E1110" s="8"/>
      <c r="F1110" s="8"/>
      <c r="G1110" s="8"/>
      <c r="H1110" s="8"/>
      <c r="I1110" s="9"/>
      <c r="J1110" s="9"/>
      <c r="K1110" s="18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ht="14.25" customHeight="1">
      <c r="A1111" s="7"/>
      <c r="B1111" s="8"/>
      <c r="C1111" s="8"/>
      <c r="D1111" s="8"/>
      <c r="E1111" s="8"/>
      <c r="F1111" s="8"/>
      <c r="G1111" s="8"/>
      <c r="H1111" s="8"/>
      <c r="I1111" s="9"/>
      <c r="J1111" s="9"/>
      <c r="K1111" s="18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ht="14.25" customHeight="1">
      <c r="A1112" s="7"/>
      <c r="B1112" s="8"/>
      <c r="C1112" s="8"/>
      <c r="D1112" s="8"/>
      <c r="E1112" s="8"/>
      <c r="F1112" s="8"/>
      <c r="G1112" s="8"/>
      <c r="H1112" s="8"/>
      <c r="I1112" s="9"/>
      <c r="J1112" s="9"/>
      <c r="K1112" s="18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ht="14.25" customHeight="1">
      <c r="A1113" s="7"/>
      <c r="B1113" s="8"/>
      <c r="C1113" s="8"/>
      <c r="D1113" s="8"/>
      <c r="E1113" s="8"/>
      <c r="F1113" s="8"/>
      <c r="G1113" s="8"/>
      <c r="H1113" s="8"/>
      <c r="I1113" s="9"/>
      <c r="J1113" s="9"/>
      <c r="K1113" s="18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ht="14.25" customHeight="1">
      <c r="A1114" s="7"/>
      <c r="B1114" s="8"/>
      <c r="C1114" s="8"/>
      <c r="D1114" s="8"/>
      <c r="E1114" s="8"/>
      <c r="F1114" s="8"/>
      <c r="G1114" s="8"/>
      <c r="H1114" s="8"/>
      <c r="I1114" s="9"/>
      <c r="J1114" s="9"/>
      <c r="K1114" s="18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ht="14.25" customHeight="1">
      <c r="A1115" s="7"/>
      <c r="B1115" s="8"/>
      <c r="C1115" s="8"/>
      <c r="D1115" s="8"/>
      <c r="E1115" s="8"/>
      <c r="F1115" s="8"/>
      <c r="G1115" s="8"/>
      <c r="H1115" s="8"/>
      <c r="I1115" s="9"/>
      <c r="J1115" s="9"/>
      <c r="K1115" s="18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ht="14.25" customHeight="1">
      <c r="A1116" s="7"/>
      <c r="B1116" s="8"/>
      <c r="C1116" s="8"/>
      <c r="D1116" s="8"/>
      <c r="E1116" s="8"/>
      <c r="F1116" s="8"/>
      <c r="G1116" s="8"/>
      <c r="H1116" s="8"/>
      <c r="I1116" s="9"/>
      <c r="J1116" s="9"/>
      <c r="K1116" s="18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ht="14.25" customHeight="1">
      <c r="A1117" s="7"/>
      <c r="B1117" s="8"/>
      <c r="C1117" s="8"/>
      <c r="D1117" s="8"/>
      <c r="E1117" s="8"/>
      <c r="F1117" s="8"/>
      <c r="G1117" s="8"/>
      <c r="H1117" s="8"/>
      <c r="I1117" s="9"/>
      <c r="J1117" s="9"/>
      <c r="K1117" s="18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ht="14.25" customHeight="1">
      <c r="A1118" s="7"/>
      <c r="B1118" s="8"/>
      <c r="C1118" s="8"/>
      <c r="D1118" s="8"/>
      <c r="E1118" s="8"/>
      <c r="F1118" s="8"/>
      <c r="G1118" s="8"/>
      <c r="H1118" s="8"/>
      <c r="I1118" s="9"/>
      <c r="J1118" s="9"/>
      <c r="K1118" s="18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ht="14.25" customHeight="1">
      <c r="A1119" s="7"/>
      <c r="B1119" s="8"/>
      <c r="C1119" s="8"/>
      <c r="D1119" s="8"/>
      <c r="E1119" s="8"/>
      <c r="F1119" s="8"/>
      <c r="G1119" s="8"/>
      <c r="H1119" s="8"/>
      <c r="I1119" s="9"/>
      <c r="J1119" s="9"/>
      <c r="K1119" s="18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ht="14.25" customHeight="1">
      <c r="A1120" s="7"/>
      <c r="B1120" s="8"/>
      <c r="C1120" s="8"/>
      <c r="D1120" s="8"/>
      <c r="E1120" s="8"/>
      <c r="F1120" s="8"/>
      <c r="G1120" s="8"/>
      <c r="H1120" s="8"/>
      <c r="I1120" s="9"/>
      <c r="J1120" s="9"/>
      <c r="K1120" s="18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ht="14.25" customHeight="1">
      <c r="A1121" s="7"/>
      <c r="B1121" s="8"/>
      <c r="C1121" s="8"/>
      <c r="D1121" s="8"/>
      <c r="E1121" s="8"/>
      <c r="F1121" s="8"/>
      <c r="G1121" s="8"/>
      <c r="H1121" s="8"/>
      <c r="I1121" s="9"/>
      <c r="J1121" s="9"/>
      <c r="K1121" s="18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ht="14.25" customHeight="1">
      <c r="A1122" s="7"/>
      <c r="B1122" s="8"/>
      <c r="C1122" s="8"/>
      <c r="D1122" s="8"/>
      <c r="E1122" s="8"/>
      <c r="F1122" s="8"/>
      <c r="G1122" s="8"/>
      <c r="H1122" s="8"/>
      <c r="I1122" s="9"/>
      <c r="J1122" s="9"/>
      <c r="K1122" s="18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ht="14.25" customHeight="1">
      <c r="A1123" s="7"/>
      <c r="B1123" s="8"/>
      <c r="C1123" s="8"/>
      <c r="D1123" s="8"/>
      <c r="E1123" s="8"/>
      <c r="F1123" s="8"/>
      <c r="G1123" s="8"/>
      <c r="H1123" s="8"/>
      <c r="I1123" s="9"/>
      <c r="J1123" s="9"/>
      <c r="K1123" s="18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ht="14.25" customHeight="1">
      <c r="A1124" s="7"/>
      <c r="B1124" s="8"/>
      <c r="C1124" s="8"/>
      <c r="D1124" s="8"/>
      <c r="E1124" s="8"/>
      <c r="F1124" s="8"/>
      <c r="G1124" s="8"/>
      <c r="H1124" s="8"/>
      <c r="I1124" s="9"/>
      <c r="J1124" s="9"/>
      <c r="K1124" s="18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ht="14.25" customHeight="1">
      <c r="A1125" s="7"/>
      <c r="B1125" s="8"/>
      <c r="C1125" s="8"/>
      <c r="D1125" s="8"/>
      <c r="E1125" s="8"/>
      <c r="F1125" s="8"/>
      <c r="G1125" s="8"/>
      <c r="H1125" s="8"/>
      <c r="I1125" s="9"/>
      <c r="J1125" s="9"/>
      <c r="K1125" s="18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ht="14.25" customHeight="1">
      <c r="A1126" s="7"/>
      <c r="B1126" s="8"/>
      <c r="C1126" s="8"/>
      <c r="D1126" s="8"/>
      <c r="E1126" s="8"/>
      <c r="F1126" s="8"/>
      <c r="G1126" s="8"/>
      <c r="H1126" s="8"/>
      <c r="I1126" s="9"/>
      <c r="J1126" s="9"/>
      <c r="K1126" s="18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ht="14.25" customHeight="1">
      <c r="A1127" s="7"/>
      <c r="B1127" s="8"/>
      <c r="C1127" s="8"/>
      <c r="D1127" s="8"/>
      <c r="E1127" s="8"/>
      <c r="F1127" s="8"/>
      <c r="G1127" s="8"/>
      <c r="H1127" s="8"/>
      <c r="I1127" s="9"/>
      <c r="J1127" s="9"/>
      <c r="K1127" s="18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ht="14.25" customHeight="1">
      <c r="A1128" s="7"/>
      <c r="B1128" s="8"/>
      <c r="C1128" s="8"/>
      <c r="D1128" s="8"/>
      <c r="E1128" s="8"/>
      <c r="F1128" s="8"/>
      <c r="G1128" s="8"/>
      <c r="H1128" s="8"/>
      <c r="I1128" s="9"/>
      <c r="J1128" s="9"/>
      <c r="K1128" s="18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ht="14.25" customHeight="1">
      <c r="A1129" s="7"/>
      <c r="B1129" s="8"/>
      <c r="C1129" s="8"/>
      <c r="D1129" s="8"/>
      <c r="E1129" s="8"/>
      <c r="F1129" s="8"/>
      <c r="G1129" s="8"/>
      <c r="H1129" s="8"/>
      <c r="I1129" s="9"/>
      <c r="J1129" s="9"/>
      <c r="K1129" s="18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ht="14.25" customHeight="1">
      <c r="A1130" s="7"/>
      <c r="B1130" s="8"/>
      <c r="C1130" s="8"/>
      <c r="D1130" s="8"/>
      <c r="E1130" s="8"/>
      <c r="F1130" s="8"/>
      <c r="G1130" s="8"/>
      <c r="H1130" s="8"/>
      <c r="I1130" s="9"/>
      <c r="J1130" s="9"/>
      <c r="K1130" s="18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ht="14.25" customHeight="1">
      <c r="A1131" s="7"/>
      <c r="B1131" s="8"/>
      <c r="C1131" s="8"/>
      <c r="D1131" s="8"/>
      <c r="E1131" s="8"/>
      <c r="F1131" s="8"/>
      <c r="G1131" s="8"/>
      <c r="H1131" s="8"/>
      <c r="I1131" s="9"/>
      <c r="J1131" s="9"/>
      <c r="K1131" s="18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ht="14.25" customHeight="1">
      <c r="A1132" s="7"/>
      <c r="B1132" s="8"/>
      <c r="C1132" s="8"/>
      <c r="D1132" s="8"/>
      <c r="E1132" s="8"/>
      <c r="F1132" s="8"/>
      <c r="G1132" s="8"/>
      <c r="H1132" s="8"/>
      <c r="I1132" s="9"/>
      <c r="J1132" s="9"/>
      <c r="K1132" s="18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ht="14.25" customHeight="1">
      <c r="A1133" s="7"/>
      <c r="B1133" s="8"/>
      <c r="C1133" s="8"/>
      <c r="D1133" s="8"/>
      <c r="E1133" s="8"/>
      <c r="F1133" s="8"/>
      <c r="G1133" s="8"/>
      <c r="H1133" s="8"/>
      <c r="I1133" s="9"/>
      <c r="J1133" s="9"/>
      <c r="K1133" s="18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ht="14.25" customHeight="1">
      <c r="A1134" s="7"/>
      <c r="B1134" s="8"/>
      <c r="C1134" s="8"/>
      <c r="D1134" s="8"/>
      <c r="E1134" s="8"/>
      <c r="F1134" s="8"/>
      <c r="G1134" s="8"/>
      <c r="H1134" s="8"/>
      <c r="I1134" s="9"/>
      <c r="J1134" s="9"/>
      <c r="K1134" s="18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ht="14.25" customHeight="1">
      <c r="A1135" s="7"/>
      <c r="B1135" s="8"/>
      <c r="C1135" s="8"/>
      <c r="D1135" s="8"/>
      <c r="E1135" s="8"/>
      <c r="F1135" s="8"/>
      <c r="G1135" s="8"/>
      <c r="H1135" s="8"/>
      <c r="I1135" s="9"/>
      <c r="J1135" s="9"/>
      <c r="K1135" s="18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ht="14.25" customHeight="1">
      <c r="A1136" s="7"/>
      <c r="B1136" s="8"/>
      <c r="C1136" s="8"/>
      <c r="D1136" s="8"/>
      <c r="E1136" s="8"/>
      <c r="F1136" s="8"/>
      <c r="G1136" s="8"/>
      <c r="H1136" s="8"/>
      <c r="I1136" s="9"/>
      <c r="J1136" s="9"/>
      <c r="K1136" s="18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ht="14.25" customHeight="1">
      <c r="A1137" s="7"/>
      <c r="B1137" s="8"/>
      <c r="C1137" s="8"/>
      <c r="D1137" s="8"/>
      <c r="E1137" s="8"/>
      <c r="F1137" s="8"/>
      <c r="G1137" s="8"/>
      <c r="H1137" s="8"/>
      <c r="I1137" s="9"/>
      <c r="J1137" s="9"/>
      <c r="K1137" s="18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ht="14.25" customHeight="1">
      <c r="A1138" s="7"/>
      <c r="B1138" s="8"/>
      <c r="C1138" s="8"/>
      <c r="D1138" s="8"/>
      <c r="E1138" s="8"/>
      <c r="F1138" s="8"/>
      <c r="G1138" s="8"/>
      <c r="H1138" s="8"/>
      <c r="I1138" s="9"/>
      <c r="J1138" s="9"/>
      <c r="K1138" s="18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ht="14.25" customHeight="1">
      <c r="A1139" s="7"/>
      <c r="B1139" s="8"/>
      <c r="C1139" s="8"/>
      <c r="D1139" s="8"/>
      <c r="E1139" s="8"/>
      <c r="F1139" s="8"/>
      <c r="G1139" s="8"/>
      <c r="H1139" s="8"/>
      <c r="I1139" s="9"/>
      <c r="J1139" s="9"/>
      <c r="K1139" s="18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ht="14.25" customHeight="1">
      <c r="A1140" s="7"/>
      <c r="B1140" s="8"/>
      <c r="C1140" s="8"/>
      <c r="D1140" s="8"/>
      <c r="E1140" s="8"/>
      <c r="F1140" s="8"/>
      <c r="G1140" s="8"/>
      <c r="H1140" s="8"/>
      <c r="I1140" s="9"/>
      <c r="J1140" s="9"/>
      <c r="K1140" s="18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ht="14.25" customHeight="1">
      <c r="A1141" s="7"/>
      <c r="B1141" s="8"/>
      <c r="C1141" s="8"/>
      <c r="D1141" s="8"/>
      <c r="E1141" s="8"/>
      <c r="F1141" s="8"/>
      <c r="G1141" s="8"/>
      <c r="H1141" s="8"/>
      <c r="I1141" s="9"/>
      <c r="J1141" s="9"/>
      <c r="K1141" s="18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ht="14.25" customHeight="1">
      <c r="A1142" s="7"/>
      <c r="B1142" s="8"/>
      <c r="C1142" s="8"/>
      <c r="D1142" s="8"/>
      <c r="E1142" s="8"/>
      <c r="F1142" s="8"/>
      <c r="G1142" s="8"/>
      <c r="H1142" s="8"/>
      <c r="I1142" s="9"/>
      <c r="J1142" s="9"/>
      <c r="K1142" s="18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ht="14.25" customHeight="1">
      <c r="A1143" s="7"/>
      <c r="B1143" s="8"/>
      <c r="C1143" s="8"/>
      <c r="D1143" s="8"/>
      <c r="E1143" s="8"/>
      <c r="F1143" s="8"/>
      <c r="G1143" s="8"/>
      <c r="H1143" s="8"/>
      <c r="I1143" s="9"/>
      <c r="J1143" s="9"/>
      <c r="K1143" s="18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ht="14.25" customHeight="1">
      <c r="A1144" s="7"/>
      <c r="B1144" s="8"/>
      <c r="C1144" s="8"/>
      <c r="D1144" s="8"/>
      <c r="E1144" s="8"/>
      <c r="F1144" s="8"/>
      <c r="G1144" s="8"/>
      <c r="H1144" s="8"/>
      <c r="I1144" s="9"/>
      <c r="J1144" s="9"/>
      <c r="K1144" s="18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ht="14.25" customHeight="1">
      <c r="A1145" s="7"/>
      <c r="B1145" s="8"/>
      <c r="C1145" s="8"/>
      <c r="D1145" s="8"/>
      <c r="E1145" s="8"/>
      <c r="F1145" s="8"/>
      <c r="G1145" s="8"/>
      <c r="H1145" s="8"/>
      <c r="I1145" s="9"/>
      <c r="J1145" s="9"/>
      <c r="K1145" s="18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ht="14.25" customHeight="1">
      <c r="A1146" s="7"/>
      <c r="B1146" s="8"/>
      <c r="C1146" s="8"/>
      <c r="D1146" s="8"/>
      <c r="E1146" s="8"/>
      <c r="F1146" s="8"/>
      <c r="G1146" s="8"/>
      <c r="H1146" s="8"/>
      <c r="I1146" s="9"/>
      <c r="J1146" s="9"/>
      <c r="K1146" s="18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ht="14.25" customHeight="1">
      <c r="A1147" s="7"/>
      <c r="B1147" s="8"/>
      <c r="C1147" s="8"/>
      <c r="D1147" s="8"/>
      <c r="E1147" s="8"/>
      <c r="F1147" s="8"/>
      <c r="G1147" s="8"/>
      <c r="H1147" s="8"/>
      <c r="I1147" s="9"/>
      <c r="J1147" s="9"/>
      <c r="K1147" s="18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ht="14.25" customHeight="1">
      <c r="A1148" s="7"/>
      <c r="B1148" s="8"/>
      <c r="C1148" s="8"/>
      <c r="D1148" s="8"/>
      <c r="E1148" s="8"/>
      <c r="F1148" s="8"/>
      <c r="G1148" s="8"/>
      <c r="H1148" s="8"/>
      <c r="I1148" s="9"/>
      <c r="J1148" s="9"/>
      <c r="K1148" s="18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ht="14.25" customHeight="1">
      <c r="A1149" s="7"/>
      <c r="B1149" s="8"/>
      <c r="C1149" s="8"/>
      <c r="D1149" s="8"/>
      <c r="E1149" s="8"/>
      <c r="F1149" s="8"/>
      <c r="G1149" s="8"/>
      <c r="H1149" s="8"/>
      <c r="I1149" s="9"/>
      <c r="J1149" s="9"/>
      <c r="K1149" s="18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ht="14.25" customHeight="1">
      <c r="A1150" s="7"/>
      <c r="B1150" s="8"/>
      <c r="C1150" s="8"/>
      <c r="D1150" s="8"/>
      <c r="E1150" s="8"/>
      <c r="F1150" s="8"/>
      <c r="G1150" s="8"/>
      <c r="H1150" s="8"/>
      <c r="I1150" s="9"/>
      <c r="J1150" s="9"/>
      <c r="K1150" s="18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ht="14.25" customHeight="1">
      <c r="A1151" s="7"/>
      <c r="B1151" s="8"/>
      <c r="C1151" s="8"/>
      <c r="D1151" s="8"/>
      <c r="E1151" s="8"/>
      <c r="F1151" s="8"/>
      <c r="G1151" s="8"/>
      <c r="H1151" s="8"/>
      <c r="I1151" s="9"/>
      <c r="J1151" s="9"/>
      <c r="K1151" s="18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ht="14.25" customHeight="1">
      <c r="A1152" s="7"/>
      <c r="B1152" s="8"/>
      <c r="C1152" s="8"/>
      <c r="D1152" s="8"/>
      <c r="E1152" s="8"/>
      <c r="F1152" s="8"/>
      <c r="G1152" s="8"/>
      <c r="H1152" s="8"/>
      <c r="I1152" s="9"/>
      <c r="J1152" s="9"/>
      <c r="K1152" s="18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ht="14.25" customHeight="1">
      <c r="A1153" s="7"/>
      <c r="B1153" s="8"/>
      <c r="C1153" s="8"/>
      <c r="D1153" s="8"/>
      <c r="E1153" s="8"/>
      <c r="F1153" s="8"/>
      <c r="G1153" s="8"/>
      <c r="H1153" s="8"/>
      <c r="I1153" s="9"/>
      <c r="J1153" s="9"/>
      <c r="K1153" s="18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ht="14.25" customHeight="1">
      <c r="A1154" s="7"/>
      <c r="B1154" s="8"/>
      <c r="C1154" s="8"/>
      <c r="D1154" s="8"/>
      <c r="E1154" s="8"/>
      <c r="F1154" s="8"/>
      <c r="G1154" s="8"/>
      <c r="H1154" s="8"/>
      <c r="I1154" s="9"/>
      <c r="J1154" s="9"/>
      <c r="K1154" s="18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ht="14.25" customHeight="1">
      <c r="A1155" s="7"/>
      <c r="B1155" s="8"/>
      <c r="C1155" s="8"/>
      <c r="D1155" s="8"/>
      <c r="E1155" s="8"/>
      <c r="F1155" s="8"/>
      <c r="G1155" s="8"/>
      <c r="H1155" s="8"/>
      <c r="I1155" s="9"/>
      <c r="J1155" s="9"/>
      <c r="K1155" s="18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ht="14.25" customHeight="1">
      <c r="A1156" s="7"/>
      <c r="B1156" s="8"/>
      <c r="C1156" s="8"/>
      <c r="D1156" s="8"/>
      <c r="E1156" s="8"/>
      <c r="F1156" s="8"/>
      <c r="G1156" s="8"/>
      <c r="H1156" s="8"/>
      <c r="I1156" s="9"/>
      <c r="J1156" s="9"/>
      <c r="K1156" s="18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ht="14.25" customHeight="1">
      <c r="A1157" s="7"/>
      <c r="B1157" s="8"/>
      <c r="C1157" s="8"/>
      <c r="D1157" s="8"/>
      <c r="E1157" s="8"/>
      <c r="F1157" s="8"/>
      <c r="G1157" s="8"/>
      <c r="H1157" s="8"/>
      <c r="I1157" s="9"/>
      <c r="J1157" s="9"/>
      <c r="K1157" s="18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ht="14.25" customHeight="1">
      <c r="A1158" s="7"/>
      <c r="B1158" s="8"/>
      <c r="C1158" s="8"/>
      <c r="D1158" s="8"/>
      <c r="E1158" s="8"/>
      <c r="F1158" s="8"/>
      <c r="G1158" s="8"/>
      <c r="H1158" s="8"/>
      <c r="I1158" s="9"/>
      <c r="J1158" s="9"/>
      <c r="K1158" s="18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ht="14.25" customHeight="1">
      <c r="A1159" s="7"/>
      <c r="B1159" s="8"/>
      <c r="C1159" s="8"/>
      <c r="D1159" s="8"/>
      <c r="E1159" s="8"/>
      <c r="F1159" s="8"/>
      <c r="G1159" s="8"/>
      <c r="H1159" s="8"/>
      <c r="I1159" s="9"/>
      <c r="J1159" s="9"/>
      <c r="K1159" s="18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ht="14.25" customHeight="1">
      <c r="A1160" s="7"/>
      <c r="B1160" s="8"/>
      <c r="C1160" s="8"/>
      <c r="D1160" s="8"/>
      <c r="E1160" s="8"/>
      <c r="F1160" s="8"/>
      <c r="G1160" s="8"/>
      <c r="H1160" s="8"/>
      <c r="I1160" s="9"/>
      <c r="J1160" s="9"/>
      <c r="K1160" s="18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ht="14.25" customHeight="1">
      <c r="A1161" s="7"/>
      <c r="B1161" s="8"/>
      <c r="C1161" s="8"/>
      <c r="D1161" s="8"/>
      <c r="E1161" s="8"/>
      <c r="F1161" s="8"/>
      <c r="G1161" s="8"/>
      <c r="H1161" s="8"/>
      <c r="I1161" s="9"/>
      <c r="J1161" s="9"/>
      <c r="K1161" s="18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ht="14.25" customHeight="1">
      <c r="A1162" s="7"/>
      <c r="B1162" s="8"/>
      <c r="C1162" s="8"/>
      <c r="D1162" s="8"/>
      <c r="E1162" s="8"/>
      <c r="F1162" s="8"/>
      <c r="G1162" s="8"/>
      <c r="H1162" s="8"/>
      <c r="I1162" s="9"/>
      <c r="J1162" s="9"/>
      <c r="K1162" s="18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ht="14.25" customHeight="1">
      <c r="A1163" s="7"/>
      <c r="B1163" s="8"/>
      <c r="C1163" s="8"/>
      <c r="D1163" s="8"/>
      <c r="E1163" s="8"/>
      <c r="F1163" s="8"/>
      <c r="G1163" s="8"/>
      <c r="H1163" s="8"/>
      <c r="I1163" s="9"/>
      <c r="J1163" s="9"/>
      <c r="K1163" s="18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ht="14.25" customHeight="1">
      <c r="A1164" s="7"/>
      <c r="B1164" s="8"/>
      <c r="C1164" s="8"/>
      <c r="D1164" s="8"/>
      <c r="E1164" s="8"/>
      <c r="F1164" s="8"/>
      <c r="G1164" s="8"/>
      <c r="H1164" s="8"/>
      <c r="I1164" s="9"/>
      <c r="J1164" s="9"/>
      <c r="K1164" s="18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ht="14.25" customHeight="1">
      <c r="A1165" s="7"/>
      <c r="B1165" s="8"/>
      <c r="C1165" s="8"/>
      <c r="D1165" s="8"/>
      <c r="E1165" s="8"/>
      <c r="F1165" s="8"/>
      <c r="G1165" s="8"/>
      <c r="H1165" s="8"/>
      <c r="I1165" s="9"/>
      <c r="J1165" s="9"/>
      <c r="K1165" s="18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ht="14.25" customHeight="1">
      <c r="A1166" s="7"/>
      <c r="B1166" s="8"/>
      <c r="C1166" s="8"/>
      <c r="D1166" s="8"/>
      <c r="E1166" s="8"/>
      <c r="F1166" s="8"/>
      <c r="G1166" s="8"/>
      <c r="H1166" s="8"/>
      <c r="I1166" s="9"/>
      <c r="J1166" s="9"/>
      <c r="K1166" s="18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ht="14.25" customHeight="1">
      <c r="A1167" s="7"/>
      <c r="B1167" s="8"/>
      <c r="C1167" s="8"/>
      <c r="D1167" s="8"/>
      <c r="E1167" s="8"/>
      <c r="F1167" s="8"/>
      <c r="G1167" s="8"/>
      <c r="H1167" s="8"/>
      <c r="I1167" s="9"/>
      <c r="J1167" s="9"/>
      <c r="K1167" s="18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ht="14.25" customHeight="1">
      <c r="A1168" s="7"/>
      <c r="B1168" s="8"/>
      <c r="C1168" s="8"/>
      <c r="D1168" s="8"/>
      <c r="E1168" s="8"/>
      <c r="F1168" s="8"/>
      <c r="G1168" s="8"/>
      <c r="H1168" s="8"/>
      <c r="I1168" s="9"/>
      <c r="J1168" s="9"/>
      <c r="K1168" s="18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ht="14.25" customHeight="1">
      <c r="A1169" s="7"/>
      <c r="B1169" s="8"/>
      <c r="C1169" s="8"/>
      <c r="D1169" s="8"/>
      <c r="E1169" s="8"/>
      <c r="F1169" s="8"/>
      <c r="G1169" s="8"/>
      <c r="H1169" s="8"/>
      <c r="I1169" s="9"/>
      <c r="J1169" s="9"/>
      <c r="K1169" s="18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ht="14.25" customHeight="1">
      <c r="A1170" s="7"/>
      <c r="B1170" s="8"/>
      <c r="C1170" s="8"/>
      <c r="D1170" s="8"/>
      <c r="E1170" s="8"/>
      <c r="F1170" s="8"/>
      <c r="G1170" s="8"/>
      <c r="H1170" s="8"/>
      <c r="I1170" s="9"/>
      <c r="J1170" s="9"/>
      <c r="K1170" s="18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ht="14.25" customHeight="1">
      <c r="A1171" s="7"/>
      <c r="B1171" s="8"/>
      <c r="C1171" s="8"/>
      <c r="D1171" s="8"/>
      <c r="E1171" s="8"/>
      <c r="F1171" s="8"/>
      <c r="G1171" s="8"/>
      <c r="H1171" s="8"/>
      <c r="I1171" s="9"/>
      <c r="J1171" s="9"/>
      <c r="K1171" s="18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ht="14.25" customHeight="1">
      <c r="A1172" s="7"/>
      <c r="B1172" s="8"/>
      <c r="C1172" s="8"/>
      <c r="D1172" s="8"/>
      <c r="E1172" s="8"/>
      <c r="F1172" s="8"/>
      <c r="G1172" s="8"/>
      <c r="H1172" s="8"/>
      <c r="I1172" s="9"/>
      <c r="J1172" s="9"/>
      <c r="K1172" s="18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ht="14.25" customHeight="1">
      <c r="A1173" s="7"/>
      <c r="B1173" s="8"/>
      <c r="C1173" s="8"/>
      <c r="D1173" s="8"/>
      <c r="E1173" s="8"/>
      <c r="F1173" s="8"/>
      <c r="G1173" s="8"/>
      <c r="H1173" s="8"/>
      <c r="I1173" s="9"/>
      <c r="J1173" s="9"/>
      <c r="K1173" s="18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ht="14.25" customHeight="1">
      <c r="A1174" s="7"/>
      <c r="B1174" s="8"/>
      <c r="C1174" s="8"/>
      <c r="D1174" s="8"/>
      <c r="E1174" s="8"/>
      <c r="F1174" s="8"/>
      <c r="G1174" s="8"/>
      <c r="H1174" s="8"/>
      <c r="I1174" s="9"/>
      <c r="J1174" s="9"/>
      <c r="K1174" s="18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ht="14.25" customHeight="1">
      <c r="A1175" s="7"/>
      <c r="B1175" s="8"/>
      <c r="C1175" s="8"/>
      <c r="D1175" s="8"/>
      <c r="E1175" s="8"/>
      <c r="F1175" s="8"/>
      <c r="G1175" s="8"/>
      <c r="H1175" s="8"/>
      <c r="I1175" s="9"/>
      <c r="J1175" s="9"/>
      <c r="K1175" s="18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ht="14.25" customHeight="1">
      <c r="A1176" s="7"/>
      <c r="B1176" s="8"/>
      <c r="C1176" s="8"/>
      <c r="D1176" s="8"/>
      <c r="E1176" s="8"/>
      <c r="F1176" s="8"/>
      <c r="G1176" s="8"/>
      <c r="H1176" s="8"/>
      <c r="I1176" s="9"/>
      <c r="J1176" s="9"/>
      <c r="K1176" s="18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ht="14.25" customHeight="1">
      <c r="A1177" s="7"/>
      <c r="B1177" s="8"/>
      <c r="C1177" s="8"/>
      <c r="D1177" s="8"/>
      <c r="E1177" s="8"/>
      <c r="F1177" s="8"/>
      <c r="G1177" s="8"/>
      <c r="H1177" s="8"/>
      <c r="I1177" s="9"/>
      <c r="J1177" s="9"/>
      <c r="K1177" s="18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ht="14.25" customHeight="1">
      <c r="A1178" s="7"/>
      <c r="B1178" s="8"/>
      <c r="C1178" s="8"/>
      <c r="D1178" s="8"/>
      <c r="E1178" s="8"/>
      <c r="F1178" s="8"/>
      <c r="G1178" s="8"/>
      <c r="H1178" s="8"/>
      <c r="I1178" s="9"/>
      <c r="J1178" s="9"/>
      <c r="K1178" s="18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ht="14.25" customHeight="1">
      <c r="A1179" s="7"/>
      <c r="B1179" s="8"/>
      <c r="C1179" s="8"/>
      <c r="D1179" s="8"/>
      <c r="E1179" s="8"/>
      <c r="F1179" s="8"/>
      <c r="G1179" s="8"/>
      <c r="H1179" s="8"/>
      <c r="I1179" s="9"/>
      <c r="J1179" s="9"/>
      <c r="K1179" s="18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ht="14.25" customHeight="1">
      <c r="A1180" s="7"/>
      <c r="B1180" s="8"/>
      <c r="C1180" s="8"/>
      <c r="D1180" s="8"/>
      <c r="E1180" s="8"/>
      <c r="F1180" s="8"/>
      <c r="G1180" s="8"/>
      <c r="H1180" s="8"/>
      <c r="I1180" s="9"/>
      <c r="J1180" s="9"/>
      <c r="K1180" s="18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ht="14.25" customHeight="1">
      <c r="A1181" s="7"/>
      <c r="B1181" s="8"/>
      <c r="C1181" s="8"/>
      <c r="D1181" s="8"/>
      <c r="E1181" s="8"/>
      <c r="F1181" s="8"/>
      <c r="G1181" s="8"/>
      <c r="H1181" s="8"/>
      <c r="I1181" s="9"/>
      <c r="J1181" s="9"/>
      <c r="K1181" s="18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ht="14.25" customHeight="1">
      <c r="A1182" s="7"/>
      <c r="B1182" s="8"/>
      <c r="C1182" s="8"/>
      <c r="D1182" s="8"/>
      <c r="E1182" s="8"/>
      <c r="F1182" s="8"/>
      <c r="G1182" s="8"/>
      <c r="H1182" s="8"/>
      <c r="I1182" s="9"/>
      <c r="J1182" s="9"/>
      <c r="K1182" s="18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ht="14.25" customHeight="1">
      <c r="A1183" s="7"/>
      <c r="B1183" s="8"/>
      <c r="C1183" s="8"/>
      <c r="D1183" s="8"/>
      <c r="E1183" s="8"/>
      <c r="F1183" s="8"/>
      <c r="G1183" s="8"/>
      <c r="H1183" s="8"/>
      <c r="I1183" s="9"/>
      <c r="J1183" s="9"/>
      <c r="K1183" s="18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ht="14.25" customHeight="1">
      <c r="A1184" s="7"/>
      <c r="B1184" s="8"/>
      <c r="C1184" s="8"/>
      <c r="D1184" s="8"/>
      <c r="E1184" s="8"/>
      <c r="F1184" s="8"/>
      <c r="G1184" s="8"/>
      <c r="H1184" s="8"/>
      <c r="I1184" s="9"/>
      <c r="J1184" s="9"/>
      <c r="K1184" s="18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ht="14.25" customHeight="1">
      <c r="A1185" s="7"/>
      <c r="B1185" s="8"/>
      <c r="C1185" s="8"/>
      <c r="D1185" s="8"/>
      <c r="E1185" s="8"/>
      <c r="F1185" s="8"/>
      <c r="G1185" s="8"/>
      <c r="H1185" s="8"/>
      <c r="I1185" s="9"/>
      <c r="J1185" s="9"/>
      <c r="K1185" s="18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ht="14.25" customHeight="1">
      <c r="A1186" s="7"/>
      <c r="B1186" s="8"/>
      <c r="C1186" s="8"/>
      <c r="D1186" s="8"/>
      <c r="E1186" s="8"/>
      <c r="F1186" s="8"/>
      <c r="G1186" s="8"/>
      <c r="H1186" s="8"/>
      <c r="I1186" s="9"/>
      <c r="J1186" s="9"/>
      <c r="K1186" s="18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ht="14.25" customHeight="1">
      <c r="A1187" s="7"/>
      <c r="B1187" s="8"/>
      <c r="C1187" s="8"/>
      <c r="D1187" s="8"/>
      <c r="E1187" s="8"/>
      <c r="F1187" s="8"/>
      <c r="G1187" s="8"/>
      <c r="H1187" s="8"/>
      <c r="I1187" s="9"/>
      <c r="J1187" s="9"/>
      <c r="K1187" s="18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ht="14.25" customHeight="1">
      <c r="A1188" s="7"/>
      <c r="B1188" s="8"/>
      <c r="C1188" s="8"/>
      <c r="D1188" s="8"/>
      <c r="E1188" s="8"/>
      <c r="F1188" s="8"/>
      <c r="G1188" s="8"/>
      <c r="H1188" s="8"/>
      <c r="I1188" s="9"/>
      <c r="J1188" s="9"/>
      <c r="K1188" s="18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ht="14.25" customHeight="1">
      <c r="A1189" s="7"/>
      <c r="B1189" s="8"/>
      <c r="C1189" s="8"/>
      <c r="D1189" s="8"/>
      <c r="E1189" s="8"/>
      <c r="F1189" s="8"/>
      <c r="G1189" s="8"/>
      <c r="H1189" s="8"/>
      <c r="I1189" s="9"/>
      <c r="J1189" s="9"/>
      <c r="K1189" s="18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ht="14.25" customHeight="1">
      <c r="A1190" s="7"/>
      <c r="B1190" s="8"/>
      <c r="C1190" s="8"/>
      <c r="D1190" s="8"/>
      <c r="E1190" s="8"/>
      <c r="F1190" s="8"/>
      <c r="G1190" s="8"/>
      <c r="H1190" s="8"/>
      <c r="I1190" s="9"/>
      <c r="J1190" s="9"/>
      <c r="K1190" s="18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ht="14.25" customHeight="1">
      <c r="A1191" s="7"/>
      <c r="B1191" s="8"/>
      <c r="C1191" s="8"/>
      <c r="D1191" s="8"/>
      <c r="E1191" s="8"/>
      <c r="F1191" s="19"/>
      <c r="G1191" s="8"/>
      <c r="H1191" s="8"/>
      <c r="I1191" s="9"/>
      <c r="J1191" s="9"/>
      <c r="K1191" s="18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ht="14.25" customHeight="1">
      <c r="A1192" s="7"/>
      <c r="B1192" s="8"/>
      <c r="C1192" s="8"/>
      <c r="D1192" s="8"/>
      <c r="E1192" s="8"/>
      <c r="F1192" s="8"/>
      <c r="G1192" s="8"/>
      <c r="H1192" s="8"/>
      <c r="I1192" s="9"/>
      <c r="J1192" s="9"/>
      <c r="K1192" s="18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ht="14.25" customHeight="1">
      <c r="A1193" s="7"/>
      <c r="B1193" s="8"/>
      <c r="C1193" s="8"/>
      <c r="D1193" s="8"/>
      <c r="E1193" s="8"/>
      <c r="F1193" s="8"/>
      <c r="G1193" s="8"/>
      <c r="H1193" s="8"/>
      <c r="I1193" s="9"/>
      <c r="J1193" s="9"/>
      <c r="K1193" s="18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ht="14.25" customHeight="1">
      <c r="A1194" s="7"/>
      <c r="B1194" s="8"/>
      <c r="C1194" s="8"/>
      <c r="D1194" s="8"/>
      <c r="E1194" s="8"/>
      <c r="F1194" s="8"/>
      <c r="G1194" s="8"/>
      <c r="H1194" s="8"/>
      <c r="I1194" s="9"/>
      <c r="J1194" s="9"/>
      <c r="K1194" s="18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ht="14.25" customHeight="1">
      <c r="A1195" s="7"/>
      <c r="B1195" s="8"/>
      <c r="C1195" s="8"/>
      <c r="D1195" s="8"/>
      <c r="E1195" s="8"/>
      <c r="F1195" s="8"/>
      <c r="G1195" s="8"/>
      <c r="H1195" s="8"/>
      <c r="I1195" s="9"/>
      <c r="J1195" s="9"/>
      <c r="K1195" s="18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ht="14.25" customHeight="1">
      <c r="A1196" s="7"/>
      <c r="B1196" s="8"/>
      <c r="C1196" s="8"/>
      <c r="D1196" s="8"/>
      <c r="E1196" s="8"/>
      <c r="F1196" s="8"/>
      <c r="G1196" s="8"/>
      <c r="H1196" s="8"/>
      <c r="I1196" s="9"/>
      <c r="J1196" s="9"/>
      <c r="K1196" s="18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ht="14.25" customHeight="1">
      <c r="A1197" s="7"/>
      <c r="B1197" s="8"/>
      <c r="C1197" s="8"/>
      <c r="D1197" s="8"/>
      <c r="E1197" s="8"/>
      <c r="F1197" s="8"/>
      <c r="G1197" s="8"/>
      <c r="H1197" s="8"/>
      <c r="I1197" s="9"/>
      <c r="J1197" s="9"/>
      <c r="K1197" s="18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ht="14.25" customHeight="1">
      <c r="A1198" s="7"/>
      <c r="B1198" s="8"/>
      <c r="C1198" s="8"/>
      <c r="D1198" s="8"/>
      <c r="E1198" s="8"/>
      <c r="F1198" s="8"/>
      <c r="G1198" s="8"/>
      <c r="H1198" s="8"/>
      <c r="I1198" s="9"/>
      <c r="J1198" s="9"/>
      <c r="K1198" s="18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ht="14.25" customHeight="1">
      <c r="A1199" s="7"/>
      <c r="B1199" s="8"/>
      <c r="C1199" s="8"/>
      <c r="D1199" s="8"/>
      <c r="E1199" s="8"/>
      <c r="F1199" s="8"/>
      <c r="G1199" s="8"/>
      <c r="H1199" s="8"/>
      <c r="I1199" s="9"/>
      <c r="J1199" s="9"/>
      <c r="K1199" s="18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ht="14.25" customHeight="1">
      <c r="A1200" s="7"/>
      <c r="B1200" s="8"/>
      <c r="C1200" s="8"/>
      <c r="D1200" s="8"/>
      <c r="E1200" s="8"/>
      <c r="F1200" s="8"/>
      <c r="G1200" s="8"/>
      <c r="H1200" s="8"/>
      <c r="I1200" s="9"/>
      <c r="J1200" s="9"/>
      <c r="K1200" s="18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ht="14.25" customHeight="1">
      <c r="A1201" s="7"/>
      <c r="B1201" s="8"/>
      <c r="C1201" s="8"/>
      <c r="D1201" s="8"/>
      <c r="E1201" s="8"/>
      <c r="F1201" s="8"/>
      <c r="G1201" s="8"/>
      <c r="H1201" s="8"/>
      <c r="I1201" s="9"/>
      <c r="J1201" s="9"/>
      <c r="K1201" s="18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ht="14.25" customHeight="1">
      <c r="A1202" s="7"/>
      <c r="B1202" s="8"/>
      <c r="C1202" s="8"/>
      <c r="D1202" s="8"/>
      <c r="E1202" s="8"/>
      <c r="F1202" s="8"/>
      <c r="G1202" s="8"/>
      <c r="H1202" s="8"/>
      <c r="I1202" s="9"/>
      <c r="J1202" s="9"/>
      <c r="K1202" s="18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ht="14.25" customHeight="1">
      <c r="A1203" s="7"/>
      <c r="B1203" s="8"/>
      <c r="C1203" s="8"/>
      <c r="D1203" s="8"/>
      <c r="E1203" s="8"/>
      <c r="F1203" s="8"/>
      <c r="G1203" s="8"/>
      <c r="H1203" s="8"/>
      <c r="I1203" s="9"/>
      <c r="J1203" s="9"/>
      <c r="K1203" s="18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ht="14.25" customHeight="1">
      <c r="A1204" s="7"/>
      <c r="B1204" s="8"/>
      <c r="C1204" s="8"/>
      <c r="D1204" s="8"/>
      <c r="E1204" s="8"/>
      <c r="F1204" s="8"/>
      <c r="G1204" s="8"/>
      <c r="H1204" s="8"/>
      <c r="I1204" s="9"/>
      <c r="J1204" s="9"/>
      <c r="K1204" s="18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ht="14.25" customHeight="1">
      <c r="A1205" s="7"/>
      <c r="B1205" s="8"/>
      <c r="C1205" s="8"/>
      <c r="D1205" s="8"/>
      <c r="E1205" s="8"/>
      <c r="F1205" s="8"/>
      <c r="G1205" s="8"/>
      <c r="H1205" s="8"/>
      <c r="I1205" s="9"/>
      <c r="J1205" s="9"/>
      <c r="K1205" s="18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ht="14.25" customHeight="1">
      <c r="A1206" s="7"/>
      <c r="B1206" s="8"/>
      <c r="C1206" s="8"/>
      <c r="D1206" s="8"/>
      <c r="E1206" s="8"/>
      <c r="F1206" s="8"/>
      <c r="G1206" s="8"/>
      <c r="H1206" s="8"/>
      <c r="I1206" s="9"/>
      <c r="J1206" s="9"/>
      <c r="K1206" s="18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ht="14.25" customHeight="1">
      <c r="A1207" s="7"/>
      <c r="B1207" s="8"/>
      <c r="C1207" s="8"/>
      <c r="D1207" s="8"/>
      <c r="E1207" s="8"/>
      <c r="F1207" s="8"/>
      <c r="G1207" s="8"/>
      <c r="H1207" s="8"/>
      <c r="I1207" s="9"/>
      <c r="J1207" s="9"/>
      <c r="K1207" s="18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ht="14.25" customHeight="1">
      <c r="A1208" s="7"/>
      <c r="B1208" s="8"/>
      <c r="C1208" s="8"/>
      <c r="D1208" s="8"/>
      <c r="E1208" s="8"/>
      <c r="F1208" s="8"/>
      <c r="G1208" s="8"/>
      <c r="H1208" s="8"/>
      <c r="I1208" s="9"/>
      <c r="J1208" s="9"/>
      <c r="K1208" s="18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ht="14.25" customHeight="1">
      <c r="A1209" s="7"/>
      <c r="B1209" s="8"/>
      <c r="C1209" s="8"/>
      <c r="D1209" s="8"/>
      <c r="E1209" s="8"/>
      <c r="F1209" s="8"/>
      <c r="G1209" s="8"/>
      <c r="H1209" s="8"/>
      <c r="I1209" s="9"/>
      <c r="J1209" s="9"/>
      <c r="K1209" s="18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ht="14.25" customHeight="1">
      <c r="A1210" s="7"/>
      <c r="B1210" s="8"/>
      <c r="C1210" s="8"/>
      <c r="D1210" s="8"/>
      <c r="E1210" s="8"/>
      <c r="F1210" s="8"/>
      <c r="G1210" s="8"/>
      <c r="H1210" s="8"/>
      <c r="I1210" s="9"/>
      <c r="J1210" s="9"/>
      <c r="K1210" s="18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ht="14.25" customHeight="1">
      <c r="A1211" s="7"/>
      <c r="B1211" s="8"/>
      <c r="C1211" s="8"/>
      <c r="D1211" s="8"/>
      <c r="E1211" s="8"/>
      <c r="F1211" s="8"/>
      <c r="G1211" s="8"/>
      <c r="H1211" s="8"/>
      <c r="I1211" s="9"/>
      <c r="J1211" s="9"/>
      <c r="K1211" s="18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ht="14.25" customHeight="1">
      <c r="A1212" s="7"/>
      <c r="B1212" s="8"/>
      <c r="C1212" s="8"/>
      <c r="D1212" s="8"/>
      <c r="E1212" s="8"/>
      <c r="F1212" s="8"/>
      <c r="G1212" s="8"/>
      <c r="H1212" s="8"/>
      <c r="I1212" s="9"/>
      <c r="J1212" s="9"/>
      <c r="K1212" s="18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ht="14.25" customHeight="1">
      <c r="A1213" s="7"/>
      <c r="B1213" s="8"/>
      <c r="C1213" s="8"/>
      <c r="D1213" s="8"/>
      <c r="E1213" s="8"/>
      <c r="F1213" s="8"/>
      <c r="G1213" s="8"/>
      <c r="H1213" s="8"/>
      <c r="I1213" s="9"/>
      <c r="J1213" s="9"/>
      <c r="K1213" s="18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ht="14.25" customHeight="1">
      <c r="A1214" s="7"/>
      <c r="B1214" s="8"/>
      <c r="C1214" s="8"/>
      <c r="D1214" s="8"/>
      <c r="E1214" s="8"/>
      <c r="F1214" s="8"/>
      <c r="G1214" s="8"/>
      <c r="H1214" s="8"/>
      <c r="I1214" s="9"/>
      <c r="J1214" s="9"/>
      <c r="K1214" s="18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ht="14.25" customHeight="1">
      <c r="A1215" s="7"/>
      <c r="B1215" s="8"/>
      <c r="C1215" s="8"/>
      <c r="D1215" s="8"/>
      <c r="E1215" s="8"/>
      <c r="F1215" s="8"/>
      <c r="G1215" s="8"/>
      <c r="H1215" s="8"/>
      <c r="I1215" s="9"/>
      <c r="J1215" s="9"/>
      <c r="K1215" s="18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ht="14.25" customHeight="1">
      <c r="A1216" s="7"/>
      <c r="B1216" s="8"/>
      <c r="C1216" s="8"/>
      <c r="D1216" s="8"/>
      <c r="E1216" s="8"/>
      <c r="F1216" s="8"/>
      <c r="G1216" s="8"/>
      <c r="H1216" s="8"/>
      <c r="I1216" s="9"/>
      <c r="J1216" s="9"/>
      <c r="K1216" s="18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ht="14.25" customHeight="1">
      <c r="A1217" s="7"/>
      <c r="B1217" s="8"/>
      <c r="C1217" s="8"/>
      <c r="D1217" s="8"/>
      <c r="E1217" s="8"/>
      <c r="F1217" s="8"/>
      <c r="G1217" s="8"/>
      <c r="H1217" s="8"/>
      <c r="I1217" s="9"/>
      <c r="J1217" s="9"/>
      <c r="K1217" s="18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ht="14.25" customHeight="1">
      <c r="A1218" s="7"/>
      <c r="B1218" s="8"/>
      <c r="C1218" s="8"/>
      <c r="D1218" s="8"/>
      <c r="E1218" s="8"/>
      <c r="F1218" s="8"/>
      <c r="G1218" s="8"/>
      <c r="H1218" s="8"/>
      <c r="I1218" s="9"/>
      <c r="J1218" s="9"/>
      <c r="K1218" s="18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ht="14.25" customHeight="1">
      <c r="A1219" s="7"/>
      <c r="B1219" s="8"/>
      <c r="C1219" s="8"/>
      <c r="D1219" s="8"/>
      <c r="E1219" s="8"/>
      <c r="F1219" s="8"/>
      <c r="G1219" s="8"/>
      <c r="H1219" s="8"/>
      <c r="I1219" s="9"/>
      <c r="J1219" s="9"/>
      <c r="K1219" s="18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ht="14.25" customHeight="1">
      <c r="A1220" s="7"/>
      <c r="B1220" s="8"/>
      <c r="C1220" s="8"/>
      <c r="D1220" s="8"/>
      <c r="E1220" s="8"/>
      <c r="F1220" s="8"/>
      <c r="G1220" s="8"/>
      <c r="H1220" s="8"/>
      <c r="I1220" s="9"/>
      <c r="J1220" s="9"/>
      <c r="K1220" s="18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ht="14.25" customHeight="1">
      <c r="A1221" s="7"/>
      <c r="B1221" s="8"/>
      <c r="C1221" s="8"/>
      <c r="D1221" s="8"/>
      <c r="E1221" s="8"/>
      <c r="F1221" s="8"/>
      <c r="G1221" s="8"/>
      <c r="H1221" s="8"/>
      <c r="I1221" s="9"/>
      <c r="J1221" s="9"/>
      <c r="K1221" s="18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ht="14.25" customHeight="1">
      <c r="A1222" s="7"/>
      <c r="B1222" s="8"/>
      <c r="C1222" s="8"/>
      <c r="D1222" s="8"/>
      <c r="E1222" s="8"/>
      <c r="F1222" s="8"/>
      <c r="G1222" s="8"/>
      <c r="H1222" s="8"/>
      <c r="I1222" s="9"/>
      <c r="J1222" s="9"/>
      <c r="K1222" s="18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ht="14.25" customHeight="1">
      <c r="A1223" s="7"/>
      <c r="B1223" s="8"/>
      <c r="C1223" s="8"/>
      <c r="D1223" s="8"/>
      <c r="E1223" s="8"/>
      <c r="F1223" s="8"/>
      <c r="G1223" s="8"/>
      <c r="H1223" s="8"/>
      <c r="I1223" s="9"/>
      <c r="J1223" s="9"/>
      <c r="K1223" s="18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ht="14.25" customHeight="1">
      <c r="A1224" s="7"/>
      <c r="B1224" s="8"/>
      <c r="C1224" s="8"/>
      <c r="D1224" s="8"/>
      <c r="E1224" s="8"/>
      <c r="F1224" s="8"/>
      <c r="G1224" s="8"/>
      <c r="H1224" s="8"/>
      <c r="I1224" s="9"/>
      <c r="J1224" s="9"/>
      <c r="K1224" s="18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ht="14.25" customHeight="1">
      <c r="A1225" s="7"/>
      <c r="B1225" s="8"/>
      <c r="C1225" s="8"/>
      <c r="D1225" s="8"/>
      <c r="E1225" s="8"/>
      <c r="F1225" s="8"/>
      <c r="G1225" s="8"/>
      <c r="H1225" s="8"/>
      <c r="I1225" s="9"/>
      <c r="J1225" s="9"/>
      <c r="K1225" s="18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ht="14.25" customHeight="1">
      <c r="A1226" s="7"/>
      <c r="B1226" s="8"/>
      <c r="C1226" s="8"/>
      <c r="D1226" s="8"/>
      <c r="E1226" s="8"/>
      <c r="F1226" s="8"/>
      <c r="G1226" s="8"/>
      <c r="H1226" s="8"/>
      <c r="I1226" s="9"/>
      <c r="J1226" s="9"/>
      <c r="K1226" s="18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ht="14.25" customHeight="1">
      <c r="A1227" s="7"/>
      <c r="B1227" s="8"/>
      <c r="C1227" s="8"/>
      <c r="D1227" s="8"/>
      <c r="E1227" s="8"/>
      <c r="F1227" s="8"/>
      <c r="G1227" s="8"/>
      <c r="H1227" s="8"/>
      <c r="I1227" s="9"/>
      <c r="J1227" s="9"/>
      <c r="K1227" s="18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ht="14.25" customHeight="1">
      <c r="A1228" s="7"/>
      <c r="B1228" s="8"/>
      <c r="C1228" s="8"/>
      <c r="D1228" s="8"/>
      <c r="E1228" s="8"/>
      <c r="F1228" s="8"/>
      <c r="G1228" s="8"/>
      <c r="H1228" s="8"/>
      <c r="I1228" s="9"/>
      <c r="J1228" s="9"/>
      <c r="K1228" s="18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ht="14.25" customHeight="1">
      <c r="A1229" s="7"/>
      <c r="B1229" s="8"/>
      <c r="C1229" s="8"/>
      <c r="D1229" s="8"/>
      <c r="E1229" s="8"/>
      <c r="F1229" s="8"/>
      <c r="G1229" s="8"/>
      <c r="H1229" s="8"/>
      <c r="I1229" s="9"/>
      <c r="J1229" s="9"/>
      <c r="K1229" s="18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ht="14.25" customHeight="1">
      <c r="A1230" s="7"/>
      <c r="B1230" s="8"/>
      <c r="C1230" s="8"/>
      <c r="D1230" s="8"/>
      <c r="E1230" s="8"/>
      <c r="F1230" s="8"/>
      <c r="G1230" s="8"/>
      <c r="H1230" s="8"/>
      <c r="I1230" s="9"/>
      <c r="J1230" s="9"/>
      <c r="K1230" s="18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ht="14.25" customHeight="1">
      <c r="A1231" s="7"/>
      <c r="B1231" s="8"/>
      <c r="C1231" s="8"/>
      <c r="D1231" s="8"/>
      <c r="E1231" s="8"/>
      <c r="F1231" s="8"/>
      <c r="G1231" s="8"/>
      <c r="H1231" s="8"/>
      <c r="I1231" s="9"/>
      <c r="J1231" s="9"/>
      <c r="K1231" s="18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ht="14.25" customHeight="1">
      <c r="A1232" s="7"/>
      <c r="B1232" s="8"/>
      <c r="C1232" s="8"/>
      <c r="D1232" s="8"/>
      <c r="E1232" s="8"/>
      <c r="F1232" s="8"/>
      <c r="G1232" s="8"/>
      <c r="H1232" s="8"/>
      <c r="I1232" s="9"/>
      <c r="J1232" s="9"/>
      <c r="K1232" s="18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ht="14.25" customHeight="1">
      <c r="A1233" s="7"/>
      <c r="B1233" s="8"/>
      <c r="C1233" s="8"/>
      <c r="D1233" s="8"/>
      <c r="E1233" s="8"/>
      <c r="F1233" s="8"/>
      <c r="G1233" s="8"/>
      <c r="H1233" s="8"/>
      <c r="I1233" s="9"/>
      <c r="J1233" s="9"/>
      <c r="K1233" s="18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ht="14.25" customHeight="1">
      <c r="A1234" s="7"/>
      <c r="B1234" s="8"/>
      <c r="C1234" s="8"/>
      <c r="D1234" s="8"/>
      <c r="E1234" s="8"/>
      <c r="F1234" s="8"/>
      <c r="G1234" s="8"/>
      <c r="H1234" s="8"/>
      <c r="I1234" s="9"/>
      <c r="J1234" s="9"/>
      <c r="K1234" s="18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ht="14.25" customHeight="1">
      <c r="A1235" s="7"/>
      <c r="B1235" s="8"/>
      <c r="C1235" s="8"/>
      <c r="D1235" s="8"/>
      <c r="E1235" s="8"/>
      <c r="F1235" s="8"/>
      <c r="G1235" s="8"/>
      <c r="H1235" s="8"/>
      <c r="I1235" s="9"/>
      <c r="J1235" s="9"/>
      <c r="K1235" s="18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ht="14.25" customHeight="1">
      <c r="A1236" s="7"/>
      <c r="B1236" s="8"/>
      <c r="C1236" s="8"/>
      <c r="D1236" s="8"/>
      <c r="E1236" s="8"/>
      <c r="F1236" s="8"/>
      <c r="G1236" s="8"/>
      <c r="H1236" s="8"/>
      <c r="I1236" s="9"/>
      <c r="J1236" s="9"/>
      <c r="K1236" s="18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ht="14.25" customHeight="1">
      <c r="A1237" s="7"/>
      <c r="B1237" s="8"/>
      <c r="C1237" s="8"/>
      <c r="D1237" s="8"/>
      <c r="E1237" s="8"/>
      <c r="F1237" s="8"/>
      <c r="G1237" s="8"/>
      <c r="H1237" s="8"/>
      <c r="I1237" s="9"/>
      <c r="J1237" s="9"/>
      <c r="K1237" s="18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ht="14.25" customHeight="1">
      <c r="A1238" s="7"/>
      <c r="B1238" s="8"/>
      <c r="C1238" s="8"/>
      <c r="D1238" s="8"/>
      <c r="E1238" s="8"/>
      <c r="F1238" s="8"/>
      <c r="G1238" s="8"/>
      <c r="H1238" s="8"/>
      <c r="I1238" s="9"/>
      <c r="J1238" s="9"/>
      <c r="K1238" s="18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ht="14.25" customHeight="1">
      <c r="A1239" s="7"/>
      <c r="B1239" s="8"/>
      <c r="C1239" s="8"/>
      <c r="D1239" s="8"/>
      <c r="E1239" s="8"/>
      <c r="F1239" s="8"/>
      <c r="G1239" s="8"/>
      <c r="H1239" s="8"/>
      <c r="I1239" s="9"/>
      <c r="J1239" s="9"/>
      <c r="K1239" s="18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ht="14.25" customHeight="1">
      <c r="A1240" s="7"/>
      <c r="B1240" s="8"/>
      <c r="C1240" s="8"/>
      <c r="D1240" s="8"/>
      <c r="E1240" s="8"/>
      <c r="F1240" s="8"/>
      <c r="G1240" s="8"/>
      <c r="H1240" s="8"/>
      <c r="I1240" s="9"/>
      <c r="J1240" s="9"/>
      <c r="K1240" s="18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ht="14.25" customHeight="1">
      <c r="A1241" s="7"/>
      <c r="B1241" s="8"/>
      <c r="C1241" s="8"/>
      <c r="D1241" s="8"/>
      <c r="E1241" s="8"/>
      <c r="F1241" s="8"/>
      <c r="G1241" s="8"/>
      <c r="H1241" s="8"/>
      <c r="I1241" s="9"/>
      <c r="J1241" s="9"/>
      <c r="K1241" s="18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ht="14.25" customHeight="1">
      <c r="A1242" s="7"/>
      <c r="B1242" s="8"/>
      <c r="C1242" s="8"/>
      <c r="D1242" s="8"/>
      <c r="E1242" s="8"/>
      <c r="F1242" s="8"/>
      <c r="G1242" s="8"/>
      <c r="H1242" s="8"/>
      <c r="I1242" s="9"/>
      <c r="J1242" s="9"/>
      <c r="K1242" s="18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ht="14.25" customHeight="1">
      <c r="A1243" s="7"/>
      <c r="B1243" s="8"/>
      <c r="C1243" s="8"/>
      <c r="D1243" s="8"/>
      <c r="E1243" s="8"/>
      <c r="F1243" s="8"/>
      <c r="G1243" s="8"/>
      <c r="H1243" s="8"/>
      <c r="I1243" s="9"/>
      <c r="J1243" s="9"/>
      <c r="K1243" s="18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ht="14.25" customHeight="1">
      <c r="A1244" s="7"/>
      <c r="B1244" s="8"/>
      <c r="C1244" s="8"/>
      <c r="D1244" s="8"/>
      <c r="E1244" s="8"/>
      <c r="F1244" s="8"/>
      <c r="G1244" s="8"/>
      <c r="H1244" s="8"/>
      <c r="I1244" s="9"/>
      <c r="J1244" s="9"/>
      <c r="K1244" s="18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ht="14.25" customHeight="1">
      <c r="A1245" s="7"/>
      <c r="B1245" s="8"/>
      <c r="C1245" s="8"/>
      <c r="D1245" s="8"/>
      <c r="E1245" s="8"/>
      <c r="F1245" s="8"/>
      <c r="G1245" s="8"/>
      <c r="H1245" s="8"/>
      <c r="I1245" s="9"/>
      <c r="J1245" s="9"/>
      <c r="K1245" s="18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ht="14.25" customHeight="1">
      <c r="A1246" s="7"/>
      <c r="B1246" s="8"/>
      <c r="C1246" s="8"/>
      <c r="D1246" s="8"/>
      <c r="E1246" s="8"/>
      <c r="F1246" s="8"/>
      <c r="G1246" s="8"/>
      <c r="H1246" s="8"/>
      <c r="I1246" s="9"/>
      <c r="J1246" s="9"/>
      <c r="K1246" s="18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ht="14.25" customHeight="1">
      <c r="A1247" s="7"/>
      <c r="B1247" s="8"/>
      <c r="C1247" s="8"/>
      <c r="D1247" s="8"/>
      <c r="E1247" s="8"/>
      <c r="F1247" s="8"/>
      <c r="G1247" s="8"/>
      <c r="H1247" s="8"/>
      <c r="I1247" s="9"/>
      <c r="J1247" s="9"/>
      <c r="K1247" s="18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ht="14.25" customHeight="1">
      <c r="A1248" s="7"/>
      <c r="B1248" s="8"/>
      <c r="C1248" s="8"/>
      <c r="D1248" s="8"/>
      <c r="E1248" s="8"/>
      <c r="F1248" s="8"/>
      <c r="G1248" s="8"/>
      <c r="H1248" s="8"/>
      <c r="I1248" s="9"/>
      <c r="J1248" s="9"/>
      <c r="K1248" s="18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ht="14.25" customHeight="1">
      <c r="A1249" s="7"/>
      <c r="B1249" s="8"/>
      <c r="C1249" s="8"/>
      <c r="D1249" s="8"/>
      <c r="E1249" s="8"/>
      <c r="F1249" s="8"/>
      <c r="G1249" s="8"/>
      <c r="H1249" s="8"/>
      <c r="I1249" s="9"/>
      <c r="J1249" s="9"/>
      <c r="K1249" s="18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ht="14.25" customHeight="1">
      <c r="A1250" s="7"/>
      <c r="B1250" s="8"/>
      <c r="C1250" s="8"/>
      <c r="D1250" s="8"/>
      <c r="E1250" s="8"/>
      <c r="F1250" s="8"/>
      <c r="G1250" s="8"/>
      <c r="H1250" s="8"/>
      <c r="I1250" s="9"/>
      <c r="J1250" s="9"/>
      <c r="K1250" s="18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ht="14.25" customHeight="1">
      <c r="A1251" s="7"/>
      <c r="B1251" s="8"/>
      <c r="C1251" s="8"/>
      <c r="D1251" s="8"/>
      <c r="E1251" s="8"/>
      <c r="F1251" s="8"/>
      <c r="G1251" s="8"/>
      <c r="H1251" s="8"/>
      <c r="I1251" s="9"/>
      <c r="J1251" s="9"/>
      <c r="K1251" s="18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ht="14.25" customHeight="1">
      <c r="A1252" s="7"/>
      <c r="B1252" s="8"/>
      <c r="C1252" s="8"/>
      <c r="D1252" s="8"/>
      <c r="E1252" s="8"/>
      <c r="F1252" s="8"/>
      <c r="G1252" s="8"/>
      <c r="H1252" s="8"/>
      <c r="I1252" s="9"/>
      <c r="J1252" s="9"/>
      <c r="K1252" s="18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ht="14.25" customHeight="1">
      <c r="A1253" s="7"/>
      <c r="B1253" s="8"/>
      <c r="C1253" s="8"/>
      <c r="D1253" s="8"/>
      <c r="E1253" s="8"/>
      <c r="F1253" s="8"/>
      <c r="G1253" s="8"/>
      <c r="H1253" s="8"/>
      <c r="I1253" s="9"/>
      <c r="J1253" s="9"/>
      <c r="K1253" s="18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ht="14.25" customHeight="1">
      <c r="A1254" s="7"/>
      <c r="B1254" s="8"/>
      <c r="C1254" s="8"/>
      <c r="D1254" s="8"/>
      <c r="E1254" s="8"/>
      <c r="F1254" s="8"/>
      <c r="G1254" s="8"/>
      <c r="H1254" s="8"/>
      <c r="I1254" s="9"/>
      <c r="J1254" s="9"/>
      <c r="K1254" s="18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ht="14.25" customHeight="1">
      <c r="A1255" s="7"/>
      <c r="B1255" s="8"/>
      <c r="C1255" s="8"/>
      <c r="D1255" s="8"/>
      <c r="E1255" s="8"/>
      <c r="F1255" s="8"/>
      <c r="G1255" s="8"/>
      <c r="H1255" s="8"/>
      <c r="I1255" s="9"/>
      <c r="J1255" s="9"/>
      <c r="K1255" s="18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ht="14.25" customHeight="1">
      <c r="A1256" s="7"/>
      <c r="B1256" s="8"/>
      <c r="C1256" s="8"/>
      <c r="D1256" s="8"/>
      <c r="E1256" s="8"/>
      <c r="F1256" s="8"/>
      <c r="G1256" s="8"/>
      <c r="H1256" s="8"/>
      <c r="I1256" s="9"/>
      <c r="J1256" s="9"/>
      <c r="K1256" s="18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ht="14.25" customHeight="1">
      <c r="A1257" s="7"/>
      <c r="B1257" s="8"/>
      <c r="C1257" s="8"/>
      <c r="D1257" s="8"/>
      <c r="E1257" s="8"/>
      <c r="F1257" s="8"/>
      <c r="G1257" s="8"/>
      <c r="H1257" s="8"/>
      <c r="I1257" s="9"/>
      <c r="J1257" s="9"/>
      <c r="K1257" s="18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ht="14.25" customHeight="1">
      <c r="A1258" s="11"/>
      <c r="B1258" s="11"/>
      <c r="C1258" s="11"/>
      <c r="D1258" s="11"/>
      <c r="E1258" s="11"/>
      <c r="F1258" s="11"/>
      <c r="G1258" s="11"/>
      <c r="H1258" s="11"/>
      <c r="I1258" s="20"/>
      <c r="J1258" s="20"/>
      <c r="K1258" s="21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ht="14.25" customHeight="1">
      <c r="A1259" s="11"/>
      <c r="B1259" s="11"/>
      <c r="C1259" s="11"/>
      <c r="D1259" s="11"/>
      <c r="E1259" s="11"/>
      <c r="F1259" s="11"/>
      <c r="G1259" s="11"/>
      <c r="H1259" s="11"/>
      <c r="I1259" s="20"/>
      <c r="J1259" s="20"/>
      <c r="K1259" s="21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ht="14.25" customHeight="1">
      <c r="A1260" s="11"/>
      <c r="B1260" s="11"/>
      <c r="C1260" s="11"/>
      <c r="D1260" s="11"/>
      <c r="E1260" s="11"/>
      <c r="F1260" s="11"/>
      <c r="G1260" s="11"/>
      <c r="H1260" s="11"/>
      <c r="I1260" s="20"/>
      <c r="J1260" s="20"/>
      <c r="K1260" s="21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ht="14.25" customHeight="1">
      <c r="A1261" s="11"/>
      <c r="B1261" s="11"/>
      <c r="C1261" s="11"/>
      <c r="D1261" s="11"/>
      <c r="E1261" s="11"/>
      <c r="F1261" s="11"/>
      <c r="G1261" s="11"/>
      <c r="H1261" s="11"/>
      <c r="I1261" s="20"/>
      <c r="J1261" s="20"/>
      <c r="K1261" s="21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ht="14.25" customHeight="1">
      <c r="A1262" s="11"/>
      <c r="B1262" s="11"/>
      <c r="C1262" s="11"/>
      <c r="D1262" s="11"/>
      <c r="E1262" s="11"/>
      <c r="F1262" s="11"/>
      <c r="G1262" s="11"/>
      <c r="H1262" s="11"/>
      <c r="I1262" s="20"/>
      <c r="J1262" s="20"/>
      <c r="K1262" s="21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ht="14.25" customHeight="1">
      <c r="A1263" s="11"/>
      <c r="B1263" s="11"/>
      <c r="C1263" s="11"/>
      <c r="D1263" s="11"/>
      <c r="E1263" s="11"/>
      <c r="F1263" s="11"/>
      <c r="G1263" s="11"/>
      <c r="H1263" s="11"/>
      <c r="I1263" s="20"/>
      <c r="J1263" s="20"/>
      <c r="K1263" s="21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ht="14.25" customHeight="1">
      <c r="A1264" s="11"/>
      <c r="B1264" s="11"/>
      <c r="C1264" s="11"/>
      <c r="D1264" s="11"/>
      <c r="E1264" s="11"/>
      <c r="F1264" s="11"/>
      <c r="G1264" s="11"/>
      <c r="H1264" s="11"/>
      <c r="I1264" s="20"/>
      <c r="J1264" s="20"/>
      <c r="K1264" s="21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ht="14.25" customHeight="1">
      <c r="A1265" s="11"/>
      <c r="B1265" s="11"/>
      <c r="C1265" s="11"/>
      <c r="D1265" s="11"/>
      <c r="E1265" s="11"/>
      <c r="F1265" s="11"/>
      <c r="G1265" s="11"/>
      <c r="H1265" s="11"/>
      <c r="I1265" s="20"/>
      <c r="J1265" s="20"/>
      <c r="K1265" s="21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ht="14.25" customHeight="1">
      <c r="A1266" s="22"/>
      <c r="B1266" s="3"/>
      <c r="C1266" s="3"/>
      <c r="D1266" s="3"/>
      <c r="E1266" s="3"/>
      <c r="F1266" s="3"/>
      <c r="G1266" s="3"/>
      <c r="H1266" s="3"/>
      <c r="I1266" s="2"/>
      <c r="J1266" s="2"/>
      <c r="K1266" s="2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ht="14.25" customHeight="1">
      <c r="A1267" s="22"/>
      <c r="B1267" s="3"/>
      <c r="C1267" s="3"/>
      <c r="D1267" s="3"/>
      <c r="E1267" s="3"/>
      <c r="F1267" s="3"/>
      <c r="G1267" s="3"/>
      <c r="H1267" s="3"/>
      <c r="I1267" s="2"/>
      <c r="J1267" s="2"/>
      <c r="K1267" s="2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ht="14.25" customHeight="1">
      <c r="A1268" s="22"/>
      <c r="B1268" s="3"/>
      <c r="C1268" s="3"/>
      <c r="D1268" s="3"/>
      <c r="E1268" s="3"/>
      <c r="F1268" s="3"/>
      <c r="G1268" s="3"/>
      <c r="H1268" s="3"/>
      <c r="I1268" s="2"/>
      <c r="J1268" s="2"/>
      <c r="K1268" s="2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ht="14.25" customHeight="1">
      <c r="A1269" s="22"/>
      <c r="B1269" s="3"/>
      <c r="C1269" s="3"/>
      <c r="D1269" s="3"/>
      <c r="E1269" s="3"/>
      <c r="F1269" s="3"/>
      <c r="G1269" s="3"/>
      <c r="H1269" s="3"/>
      <c r="I1269" s="2"/>
      <c r="J1269" s="2"/>
      <c r="K1269" s="2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ht="14.25" customHeight="1">
      <c r="A1270" s="22"/>
      <c r="B1270" s="3"/>
      <c r="C1270" s="3"/>
      <c r="D1270" s="3"/>
      <c r="E1270" s="3"/>
      <c r="F1270" s="3"/>
      <c r="G1270" s="3"/>
      <c r="H1270" s="3"/>
      <c r="I1270" s="2"/>
      <c r="J1270" s="2"/>
      <c r="K1270" s="2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ht="14.25" customHeight="1">
      <c r="A1271" s="22"/>
      <c r="B1271" s="3"/>
      <c r="C1271" s="3"/>
      <c r="D1271" s="3"/>
      <c r="E1271" s="3"/>
      <c r="F1271" s="3"/>
      <c r="G1271" s="3"/>
      <c r="H1271" s="3"/>
      <c r="I1271" s="2"/>
      <c r="J1271" s="2"/>
      <c r="K1271" s="2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ht="14.25" customHeight="1">
      <c r="A1272" s="22"/>
      <c r="B1272" s="3"/>
      <c r="C1272" s="3"/>
      <c r="D1272" s="3"/>
      <c r="E1272" s="3"/>
      <c r="F1272" s="3"/>
      <c r="G1272" s="3"/>
      <c r="H1272" s="3"/>
      <c r="I1272" s="2"/>
      <c r="J1272" s="2"/>
      <c r="K1272" s="2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ht="14.25" customHeight="1">
      <c r="A1273" s="7"/>
      <c r="B1273" s="8"/>
      <c r="C1273" s="8"/>
      <c r="D1273" s="8"/>
      <c r="E1273" s="8"/>
      <c r="F1273" s="8"/>
      <c r="G1273" s="8"/>
      <c r="H1273" s="8"/>
      <c r="I1273" s="9"/>
      <c r="J1273" s="9"/>
      <c r="K1273" s="18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ht="14.25" customHeight="1">
      <c r="A1274" s="7"/>
      <c r="B1274" s="8"/>
      <c r="C1274" s="8"/>
      <c r="D1274" s="8"/>
      <c r="E1274" s="8"/>
      <c r="F1274" s="8"/>
      <c r="G1274" s="8"/>
      <c r="H1274" s="8"/>
      <c r="I1274" s="9"/>
      <c r="J1274" s="9"/>
      <c r="K1274" s="18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ht="14.25" customHeight="1">
      <c r="A1275" s="7"/>
      <c r="B1275" s="8"/>
      <c r="C1275" s="8"/>
      <c r="D1275" s="8"/>
      <c r="E1275" s="8"/>
      <c r="F1275" s="8"/>
      <c r="G1275" s="8"/>
      <c r="H1275" s="8"/>
      <c r="I1275" s="9"/>
      <c r="J1275" s="9"/>
      <c r="K1275" s="18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ht="14.25" customHeight="1">
      <c r="A1276" s="7"/>
      <c r="B1276" s="8"/>
      <c r="C1276" s="8"/>
      <c r="D1276" s="8"/>
      <c r="E1276" s="8"/>
      <c r="F1276" s="8"/>
      <c r="G1276" s="8"/>
      <c r="H1276" s="8"/>
      <c r="I1276" s="9"/>
      <c r="J1276" s="9"/>
      <c r="K1276" s="18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ht="14.25" customHeight="1">
      <c r="A1277" s="7"/>
      <c r="B1277" s="8"/>
      <c r="C1277" s="8"/>
      <c r="D1277" s="8"/>
      <c r="E1277" s="8"/>
      <c r="F1277" s="8"/>
      <c r="G1277" s="8"/>
      <c r="H1277" s="8"/>
      <c r="I1277" s="9"/>
      <c r="J1277" s="9"/>
      <c r="K1277" s="18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ht="14.25" customHeight="1">
      <c r="A1278" s="7"/>
      <c r="B1278" s="8"/>
      <c r="C1278" s="8"/>
      <c r="D1278" s="8"/>
      <c r="E1278" s="8"/>
      <c r="F1278" s="8"/>
      <c r="G1278" s="8"/>
      <c r="H1278" s="8"/>
      <c r="I1278" s="9"/>
      <c r="J1278" s="9"/>
      <c r="K1278" s="18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ht="14.25" customHeight="1">
      <c r="A1279" s="7"/>
      <c r="B1279" s="8"/>
      <c r="C1279" s="8"/>
      <c r="D1279" s="8"/>
      <c r="E1279" s="8"/>
      <c r="F1279" s="8"/>
      <c r="G1279" s="8"/>
      <c r="H1279" s="8"/>
      <c r="I1279" s="9"/>
      <c r="J1279" s="9"/>
      <c r="K1279" s="18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ht="14.25" customHeight="1">
      <c r="A1280" s="7"/>
      <c r="B1280" s="8"/>
      <c r="C1280" s="8"/>
      <c r="D1280" s="8"/>
      <c r="E1280" s="8"/>
      <c r="F1280" s="8"/>
      <c r="G1280" s="8"/>
      <c r="H1280" s="8"/>
      <c r="I1280" s="9"/>
      <c r="J1280" s="9"/>
      <c r="K1280" s="18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ht="14.25" customHeight="1">
      <c r="A1281" s="7"/>
      <c r="B1281" s="8"/>
      <c r="C1281" s="8"/>
      <c r="D1281" s="8"/>
      <c r="E1281" s="8"/>
      <c r="F1281" s="8"/>
      <c r="G1281" s="8"/>
      <c r="H1281" s="8"/>
      <c r="I1281" s="9"/>
      <c r="J1281" s="9"/>
      <c r="K1281" s="18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ht="14.25" customHeight="1">
      <c r="A1282" s="7"/>
      <c r="B1282" s="8"/>
      <c r="C1282" s="8"/>
      <c r="D1282" s="8"/>
      <c r="E1282" s="8"/>
      <c r="F1282" s="8"/>
      <c r="G1282" s="8"/>
      <c r="H1282" s="8"/>
      <c r="I1282" s="9"/>
      <c r="J1282" s="9"/>
      <c r="K1282" s="18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ht="14.25" customHeight="1">
      <c r="A1283" s="7"/>
      <c r="B1283" s="8"/>
      <c r="C1283" s="8"/>
      <c r="D1283" s="8"/>
      <c r="E1283" s="8"/>
      <c r="F1283" s="8"/>
      <c r="G1283" s="8"/>
      <c r="H1283" s="8"/>
      <c r="I1283" s="9"/>
      <c r="J1283" s="9"/>
      <c r="K1283" s="18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ht="14.25" customHeight="1">
      <c r="A1284" s="7"/>
      <c r="B1284" s="8"/>
      <c r="C1284" s="8"/>
      <c r="D1284" s="8"/>
      <c r="E1284" s="8"/>
      <c r="F1284" s="8"/>
      <c r="G1284" s="8"/>
      <c r="H1284" s="8"/>
      <c r="I1284" s="9"/>
      <c r="J1284" s="9"/>
      <c r="K1284" s="18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ht="14.25" customHeight="1">
      <c r="A1285" s="7"/>
      <c r="B1285" s="8"/>
      <c r="C1285" s="8"/>
      <c r="D1285" s="8"/>
      <c r="E1285" s="8"/>
      <c r="F1285" s="8"/>
      <c r="G1285" s="8"/>
      <c r="H1285" s="8"/>
      <c r="I1285" s="9"/>
      <c r="J1285" s="9"/>
      <c r="K1285" s="18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ht="14.25" customHeight="1">
      <c r="A1286" s="7"/>
      <c r="B1286" s="8"/>
      <c r="C1286" s="8"/>
      <c r="D1286" s="8"/>
      <c r="E1286" s="8"/>
      <c r="F1286" s="8"/>
      <c r="G1286" s="8"/>
      <c r="H1286" s="8"/>
      <c r="I1286" s="9"/>
      <c r="J1286" s="9"/>
      <c r="K1286" s="18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ht="14.25" customHeight="1">
      <c r="A1287" s="7"/>
      <c r="B1287" s="8"/>
      <c r="C1287" s="8"/>
      <c r="D1287" s="8"/>
      <c r="E1287" s="8"/>
      <c r="F1287" s="8"/>
      <c r="G1287" s="8"/>
      <c r="H1287" s="8"/>
      <c r="I1287" s="9"/>
      <c r="J1287" s="9"/>
      <c r="K1287" s="18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ht="14.25" customHeight="1">
      <c r="A1288" s="7"/>
      <c r="B1288" s="8"/>
      <c r="C1288" s="8"/>
      <c r="D1288" s="8"/>
      <c r="E1288" s="8"/>
      <c r="F1288" s="8"/>
      <c r="G1288" s="8"/>
      <c r="H1288" s="8"/>
      <c r="I1288" s="9"/>
      <c r="J1288" s="9"/>
      <c r="K1288" s="18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ht="14.25" customHeight="1">
      <c r="A1289" s="7"/>
      <c r="B1289" s="8"/>
      <c r="C1289" s="8"/>
      <c r="D1289" s="8"/>
      <c r="E1289" s="8"/>
      <c r="F1289" s="8"/>
      <c r="G1289" s="8"/>
      <c r="H1289" s="8"/>
      <c r="I1289" s="9"/>
      <c r="J1289" s="9"/>
      <c r="K1289" s="18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ht="14.25" customHeight="1">
      <c r="A1290" s="7"/>
      <c r="B1290" s="8"/>
      <c r="C1290" s="8"/>
      <c r="D1290" s="8"/>
      <c r="E1290" s="8"/>
      <c r="F1290" s="8"/>
      <c r="G1290" s="8"/>
      <c r="H1290" s="8"/>
      <c r="I1290" s="9"/>
      <c r="J1290" s="9"/>
      <c r="K1290" s="18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ht="14.25" customHeight="1">
      <c r="A1291" s="7"/>
      <c r="B1291" s="8"/>
      <c r="C1291" s="8"/>
      <c r="D1291" s="8"/>
      <c r="E1291" s="8"/>
      <c r="F1291" s="8"/>
      <c r="G1291" s="8"/>
      <c r="H1291" s="8"/>
      <c r="I1291" s="9"/>
      <c r="J1291" s="9"/>
      <c r="K1291" s="18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ht="14.25" customHeight="1">
      <c r="A1292" s="7"/>
      <c r="B1292" s="8"/>
      <c r="C1292" s="8"/>
      <c r="D1292" s="8"/>
      <c r="E1292" s="8"/>
      <c r="F1292" s="8"/>
      <c r="G1292" s="8"/>
      <c r="H1292" s="8"/>
      <c r="I1292" s="9"/>
      <c r="J1292" s="9"/>
      <c r="K1292" s="18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ht="14.25" customHeight="1">
      <c r="A1293" s="7"/>
      <c r="B1293" s="8"/>
      <c r="C1293" s="8"/>
      <c r="D1293" s="8"/>
      <c r="E1293" s="8"/>
      <c r="F1293" s="8"/>
      <c r="G1293" s="8"/>
      <c r="H1293" s="8"/>
      <c r="I1293" s="9"/>
      <c r="J1293" s="9"/>
      <c r="K1293" s="18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ht="14.25" customHeight="1">
      <c r="A1294" s="7"/>
      <c r="B1294" s="8"/>
      <c r="C1294" s="8"/>
      <c r="D1294" s="8"/>
      <c r="E1294" s="8"/>
      <c r="F1294" s="8"/>
      <c r="G1294" s="8"/>
      <c r="H1294" s="8"/>
      <c r="I1294" s="9"/>
      <c r="J1294" s="9"/>
      <c r="K1294" s="18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ht="14.25" customHeight="1">
      <c r="A1295" s="7"/>
      <c r="B1295" s="8"/>
      <c r="C1295" s="8"/>
      <c r="D1295" s="8"/>
      <c r="E1295" s="8"/>
      <c r="F1295" s="8"/>
      <c r="G1295" s="8"/>
      <c r="H1295" s="8"/>
      <c r="I1295" s="9"/>
      <c r="J1295" s="9"/>
      <c r="K1295" s="18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ht="14.25" customHeight="1">
      <c r="A1296" s="7"/>
      <c r="B1296" s="8"/>
      <c r="C1296" s="8"/>
      <c r="D1296" s="8"/>
      <c r="E1296" s="8"/>
      <c r="F1296" s="8"/>
      <c r="G1296" s="8"/>
      <c r="H1296" s="8"/>
      <c r="I1296" s="9"/>
      <c r="J1296" s="9"/>
      <c r="K1296" s="18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ht="14.25" customHeight="1">
      <c r="A1297" s="7"/>
      <c r="B1297" s="8"/>
      <c r="C1297" s="8"/>
      <c r="D1297" s="8"/>
      <c r="E1297" s="8"/>
      <c r="F1297" s="8"/>
      <c r="G1297" s="8"/>
      <c r="H1297" s="8"/>
      <c r="I1297" s="9"/>
      <c r="J1297" s="9"/>
      <c r="K1297" s="18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ht="14.25" customHeight="1">
      <c r="A1298" s="7"/>
      <c r="B1298" s="8"/>
      <c r="C1298" s="8"/>
      <c r="D1298" s="8"/>
      <c r="E1298" s="8"/>
      <c r="F1298" s="8"/>
      <c r="G1298" s="8"/>
      <c r="H1298" s="8"/>
      <c r="I1298" s="9"/>
      <c r="J1298" s="9"/>
      <c r="K1298" s="18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ht="14.25" customHeight="1">
      <c r="A1299" s="7"/>
      <c r="B1299" s="8"/>
      <c r="C1299" s="8"/>
      <c r="D1299" s="8"/>
      <c r="E1299" s="8"/>
      <c r="F1299" s="8"/>
      <c r="G1299" s="8"/>
      <c r="H1299" s="8"/>
      <c r="I1299" s="9"/>
      <c r="J1299" s="9"/>
      <c r="K1299" s="18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ht="14.25" customHeight="1">
      <c r="A1300" s="7"/>
      <c r="B1300" s="8"/>
      <c r="C1300" s="8"/>
      <c r="D1300" s="8"/>
      <c r="E1300" s="8"/>
      <c r="F1300" s="8"/>
      <c r="G1300" s="8"/>
      <c r="H1300" s="8"/>
      <c r="I1300" s="9"/>
      <c r="J1300" s="9"/>
      <c r="K1300" s="18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ht="14.25" customHeight="1">
      <c r="A1301" s="7"/>
      <c r="B1301" s="8"/>
      <c r="C1301" s="8"/>
      <c r="D1301" s="8"/>
      <c r="E1301" s="8"/>
      <c r="F1301" s="8"/>
      <c r="G1301" s="8"/>
      <c r="H1301" s="8"/>
      <c r="I1301" s="9"/>
      <c r="J1301" s="9"/>
      <c r="K1301" s="18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ht="14.25" customHeight="1">
      <c r="A1302" s="7"/>
      <c r="B1302" s="8"/>
      <c r="C1302" s="8"/>
      <c r="D1302" s="8"/>
      <c r="E1302" s="8"/>
      <c r="F1302" s="8"/>
      <c r="G1302" s="8"/>
      <c r="H1302" s="8"/>
      <c r="I1302" s="9"/>
      <c r="J1302" s="9"/>
      <c r="K1302" s="18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ht="14.25" customHeight="1">
      <c r="A1303" s="7"/>
      <c r="B1303" s="8"/>
      <c r="C1303" s="8"/>
      <c r="D1303" s="8"/>
      <c r="E1303" s="8"/>
      <c r="F1303" s="8"/>
      <c r="G1303" s="8"/>
      <c r="H1303" s="8"/>
      <c r="I1303" s="9"/>
      <c r="J1303" s="9"/>
      <c r="K1303" s="18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ht="14.25" customHeight="1">
      <c r="A1304" s="7"/>
      <c r="B1304" s="8"/>
      <c r="C1304" s="8"/>
      <c r="D1304" s="8"/>
      <c r="E1304" s="8"/>
      <c r="F1304" s="8"/>
      <c r="G1304" s="8"/>
      <c r="H1304" s="8"/>
      <c r="I1304" s="9"/>
      <c r="J1304" s="9"/>
      <c r="K1304" s="18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ht="14.25" customHeight="1">
      <c r="A1305" s="7"/>
      <c r="B1305" s="8"/>
      <c r="C1305" s="8"/>
      <c r="D1305" s="8"/>
      <c r="E1305" s="8"/>
      <c r="F1305" s="8"/>
      <c r="G1305" s="8"/>
      <c r="H1305" s="8"/>
      <c r="I1305" s="9"/>
      <c r="J1305" s="9"/>
      <c r="K1305" s="18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ht="14.25" customHeight="1">
      <c r="A1306" s="7"/>
      <c r="B1306" s="8"/>
      <c r="C1306" s="8"/>
      <c r="D1306" s="8"/>
      <c r="E1306" s="8"/>
      <c r="F1306" s="8"/>
      <c r="G1306" s="8"/>
      <c r="H1306" s="8"/>
      <c r="I1306" s="9"/>
      <c r="J1306" s="9"/>
      <c r="K1306" s="18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ht="14.25" customHeight="1">
      <c r="A1307" s="7"/>
      <c r="B1307" s="8"/>
      <c r="C1307" s="8"/>
      <c r="D1307" s="8"/>
      <c r="E1307" s="8"/>
      <c r="F1307" s="8"/>
      <c r="G1307" s="8"/>
      <c r="H1307" s="8"/>
      <c r="I1307" s="9"/>
      <c r="J1307" s="9"/>
      <c r="K1307" s="18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ht="14.25" customHeight="1">
      <c r="A1308" s="7"/>
      <c r="B1308" s="8"/>
      <c r="C1308" s="8"/>
      <c r="D1308" s="8"/>
      <c r="E1308" s="8"/>
      <c r="F1308" s="8"/>
      <c r="G1308" s="8"/>
      <c r="H1308" s="8"/>
      <c r="I1308" s="9"/>
      <c r="J1308" s="9"/>
      <c r="K1308" s="18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ht="14.25" customHeight="1">
      <c r="A1309" s="7"/>
      <c r="B1309" s="8"/>
      <c r="C1309" s="8"/>
      <c r="D1309" s="8"/>
      <c r="E1309" s="8"/>
      <c r="F1309" s="8"/>
      <c r="G1309" s="8"/>
      <c r="H1309" s="8"/>
      <c r="I1309" s="9"/>
      <c r="J1309" s="9"/>
      <c r="K1309" s="18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ht="14.25" customHeight="1">
      <c r="A1310" s="7"/>
      <c r="B1310" s="8"/>
      <c r="C1310" s="8"/>
      <c r="D1310" s="8"/>
      <c r="E1310" s="8"/>
      <c r="F1310" s="8"/>
      <c r="G1310" s="8"/>
      <c r="H1310" s="8"/>
      <c r="I1310" s="9"/>
      <c r="J1310" s="9"/>
      <c r="K1310" s="18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ht="14.25" customHeight="1">
      <c r="A1311" s="7"/>
      <c r="B1311" s="8"/>
      <c r="C1311" s="8"/>
      <c r="D1311" s="8"/>
      <c r="E1311" s="8"/>
      <c r="F1311" s="8"/>
      <c r="G1311" s="8"/>
      <c r="H1311" s="8"/>
      <c r="I1311" s="9"/>
      <c r="J1311" s="9"/>
      <c r="K1311" s="18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ht="14.25" customHeight="1">
      <c r="A1312" s="7"/>
      <c r="B1312" s="8"/>
      <c r="C1312" s="8"/>
      <c r="D1312" s="8"/>
      <c r="E1312" s="8"/>
      <c r="F1312" s="8"/>
      <c r="G1312" s="8"/>
      <c r="H1312" s="8"/>
      <c r="I1312" s="9"/>
      <c r="J1312" s="9"/>
      <c r="K1312" s="18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ht="14.25" customHeight="1">
      <c r="A1313" s="7"/>
      <c r="B1313" s="8"/>
      <c r="C1313" s="8"/>
      <c r="D1313" s="8"/>
      <c r="E1313" s="8"/>
      <c r="F1313" s="8"/>
      <c r="G1313" s="8"/>
      <c r="H1313" s="8"/>
      <c r="I1313" s="9"/>
      <c r="J1313" s="9"/>
      <c r="K1313" s="18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ht="14.25" customHeight="1">
      <c r="A1314" s="7"/>
      <c r="B1314" s="8"/>
      <c r="C1314" s="8"/>
      <c r="D1314" s="8"/>
      <c r="E1314" s="8"/>
      <c r="F1314" s="8"/>
      <c r="G1314" s="8"/>
      <c r="H1314" s="8"/>
      <c r="I1314" s="9"/>
      <c r="J1314" s="9"/>
      <c r="K1314" s="18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ht="14.25" customHeight="1">
      <c r="A1315" s="7"/>
      <c r="B1315" s="8"/>
      <c r="C1315" s="8"/>
      <c r="D1315" s="8"/>
      <c r="E1315" s="8"/>
      <c r="F1315" s="8"/>
      <c r="G1315" s="8"/>
      <c r="H1315" s="8"/>
      <c r="I1315" s="9"/>
      <c r="J1315" s="9"/>
      <c r="K1315" s="18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ht="14.25" customHeight="1">
      <c r="A1316" s="7"/>
      <c r="B1316" s="8"/>
      <c r="C1316" s="8"/>
      <c r="D1316" s="8"/>
      <c r="E1316" s="8"/>
      <c r="F1316" s="8"/>
      <c r="G1316" s="8"/>
      <c r="H1316" s="8"/>
      <c r="I1316" s="9"/>
      <c r="J1316" s="9"/>
      <c r="K1316" s="18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ht="14.25" customHeight="1">
      <c r="A1317" s="7"/>
      <c r="B1317" s="8"/>
      <c r="C1317" s="8"/>
      <c r="D1317" s="8"/>
      <c r="E1317" s="8"/>
      <c r="F1317" s="8"/>
      <c r="G1317" s="8"/>
      <c r="H1317" s="8"/>
      <c r="I1317" s="9"/>
      <c r="J1317" s="9"/>
      <c r="K1317" s="18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ht="14.25" customHeight="1">
      <c r="A1318" s="7"/>
      <c r="B1318" s="8"/>
      <c r="C1318" s="8"/>
      <c r="D1318" s="8"/>
      <c r="E1318" s="8"/>
      <c r="F1318" s="8"/>
      <c r="G1318" s="8"/>
      <c r="H1318" s="8"/>
      <c r="I1318" s="9"/>
      <c r="J1318" s="9"/>
      <c r="K1318" s="18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ht="14.25" customHeight="1">
      <c r="A1319" s="7"/>
      <c r="B1319" s="8"/>
      <c r="C1319" s="8"/>
      <c r="D1319" s="8"/>
      <c r="E1319" s="8"/>
      <c r="F1319" s="8"/>
      <c r="G1319" s="8"/>
      <c r="H1319" s="8"/>
      <c r="I1319" s="9"/>
      <c r="J1319" s="9"/>
      <c r="K1319" s="18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ht="14.25" customHeight="1">
      <c r="A1320" s="7"/>
      <c r="B1320" s="8"/>
      <c r="C1320" s="8"/>
      <c r="D1320" s="8"/>
      <c r="E1320" s="8"/>
      <c r="F1320" s="8"/>
      <c r="G1320" s="8"/>
      <c r="H1320" s="8"/>
      <c r="I1320" s="9"/>
      <c r="J1320" s="9"/>
      <c r="K1320" s="18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ht="14.25" customHeight="1">
      <c r="A1321" s="7"/>
      <c r="B1321" s="8"/>
      <c r="C1321" s="8"/>
      <c r="D1321" s="8"/>
      <c r="E1321" s="8"/>
      <c r="F1321" s="8"/>
      <c r="G1321" s="8"/>
      <c r="H1321" s="8"/>
      <c r="I1321" s="9"/>
      <c r="J1321" s="9"/>
      <c r="K1321" s="18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ht="14.25" customHeight="1">
      <c r="A1322" s="7"/>
      <c r="B1322" s="8"/>
      <c r="C1322" s="8"/>
      <c r="D1322" s="8"/>
      <c r="E1322" s="8"/>
      <c r="F1322" s="8"/>
      <c r="G1322" s="8"/>
      <c r="H1322" s="8"/>
      <c r="I1322" s="9"/>
      <c r="J1322" s="9"/>
      <c r="K1322" s="18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ht="14.25" customHeight="1">
      <c r="A1323" s="7"/>
      <c r="B1323" s="8"/>
      <c r="C1323" s="8"/>
      <c r="D1323" s="8"/>
      <c r="E1323" s="8"/>
      <c r="F1323" s="8"/>
      <c r="G1323" s="8"/>
      <c r="H1323" s="8"/>
      <c r="I1323" s="9"/>
      <c r="J1323" s="9"/>
      <c r="K1323" s="18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ht="14.25" customHeight="1">
      <c r="A1324" s="7"/>
      <c r="B1324" s="8"/>
      <c r="C1324" s="8"/>
      <c r="D1324" s="8"/>
      <c r="E1324" s="8"/>
      <c r="F1324" s="8"/>
      <c r="G1324" s="8"/>
      <c r="H1324" s="8"/>
      <c r="I1324" s="9"/>
      <c r="J1324" s="9"/>
      <c r="K1324" s="18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ht="14.25" customHeight="1">
      <c r="A1325" s="7"/>
      <c r="B1325" s="8"/>
      <c r="C1325" s="8"/>
      <c r="D1325" s="8"/>
      <c r="E1325" s="8"/>
      <c r="F1325" s="8"/>
      <c r="G1325" s="8"/>
      <c r="H1325" s="8"/>
      <c r="I1325" s="9"/>
      <c r="J1325" s="9"/>
      <c r="K1325" s="18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ht="14.25" customHeight="1">
      <c r="A1326" s="7"/>
      <c r="B1326" s="8"/>
      <c r="C1326" s="8"/>
      <c r="D1326" s="8"/>
      <c r="E1326" s="8"/>
      <c r="F1326" s="8"/>
      <c r="G1326" s="8"/>
      <c r="H1326" s="8"/>
      <c r="I1326" s="9"/>
      <c r="J1326" s="9"/>
      <c r="K1326" s="18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ht="14.25" customHeight="1">
      <c r="A1327" s="7"/>
      <c r="B1327" s="8"/>
      <c r="C1327" s="8"/>
      <c r="D1327" s="8"/>
      <c r="E1327" s="8"/>
      <c r="F1327" s="8"/>
      <c r="G1327" s="8"/>
      <c r="H1327" s="8"/>
      <c r="I1327" s="9"/>
      <c r="J1327" s="9"/>
      <c r="K1327" s="18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ht="14.25" customHeight="1">
      <c r="A1328" s="7"/>
      <c r="B1328" s="8"/>
      <c r="C1328" s="8"/>
      <c r="D1328" s="8"/>
      <c r="E1328" s="8"/>
      <c r="F1328" s="8"/>
      <c r="G1328" s="8"/>
      <c r="H1328" s="8"/>
      <c r="I1328" s="9"/>
      <c r="J1328" s="9"/>
      <c r="K1328" s="18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ht="14.25" customHeight="1">
      <c r="A1329" s="7"/>
      <c r="B1329" s="8"/>
      <c r="C1329" s="8"/>
      <c r="D1329" s="8"/>
      <c r="E1329" s="8"/>
      <c r="F1329" s="8"/>
      <c r="G1329" s="8"/>
      <c r="H1329" s="8"/>
      <c r="I1329" s="9"/>
      <c r="J1329" s="9"/>
      <c r="K1329" s="18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ht="14.25" customHeight="1">
      <c r="A1330" s="7"/>
      <c r="B1330" s="8"/>
      <c r="C1330" s="8"/>
      <c r="D1330" s="8"/>
      <c r="E1330" s="8"/>
      <c r="F1330" s="8"/>
      <c r="G1330" s="8"/>
      <c r="H1330" s="8"/>
      <c r="I1330" s="9"/>
      <c r="J1330" s="9"/>
      <c r="K1330" s="18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ht="14.25" customHeight="1">
      <c r="A1331" s="7"/>
      <c r="B1331" s="8"/>
      <c r="C1331" s="8"/>
      <c r="D1331" s="8"/>
      <c r="E1331" s="8"/>
      <c r="F1331" s="8"/>
      <c r="G1331" s="8"/>
      <c r="H1331" s="8"/>
      <c r="I1331" s="9"/>
      <c r="J1331" s="9"/>
      <c r="K1331" s="18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ht="14.25" customHeight="1">
      <c r="A1332" s="7"/>
      <c r="B1332" s="8"/>
      <c r="C1332" s="8"/>
      <c r="D1332" s="8"/>
      <c r="E1332" s="8"/>
      <c r="F1332" s="8"/>
      <c r="G1332" s="8"/>
      <c r="H1332" s="8"/>
      <c r="I1332" s="9"/>
      <c r="J1332" s="9"/>
      <c r="K1332" s="18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ht="14.25" customHeight="1">
      <c r="A1333" s="7"/>
      <c r="B1333" s="8"/>
      <c r="C1333" s="8"/>
      <c r="D1333" s="8"/>
      <c r="E1333" s="8"/>
      <c r="F1333" s="8"/>
      <c r="G1333" s="8"/>
      <c r="H1333" s="8"/>
      <c r="I1333" s="9"/>
      <c r="J1333" s="9"/>
      <c r="K1333" s="18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ht="14.25" customHeight="1">
      <c r="A1334" s="7"/>
      <c r="B1334" s="8"/>
      <c r="C1334" s="8"/>
      <c r="D1334" s="8"/>
      <c r="E1334" s="8"/>
      <c r="F1334" s="8"/>
      <c r="G1334" s="8"/>
      <c r="H1334" s="8"/>
      <c r="I1334" s="9"/>
      <c r="J1334" s="9"/>
      <c r="K1334" s="18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ht="14.25" customHeight="1">
      <c r="A1335" s="7"/>
      <c r="B1335" s="8"/>
      <c r="C1335" s="8"/>
      <c r="D1335" s="8"/>
      <c r="E1335" s="8"/>
      <c r="F1335" s="8"/>
      <c r="G1335" s="8"/>
      <c r="H1335" s="8"/>
      <c r="I1335" s="9"/>
      <c r="J1335" s="9"/>
      <c r="K1335" s="18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ht="14.25" customHeight="1">
      <c r="A1336" s="7"/>
      <c r="B1336" s="8"/>
      <c r="C1336" s="8"/>
      <c r="D1336" s="8"/>
      <c r="E1336" s="8"/>
      <c r="F1336" s="8"/>
      <c r="G1336" s="8"/>
      <c r="H1336" s="8"/>
      <c r="I1336" s="9"/>
      <c r="J1336" s="9"/>
      <c r="K1336" s="18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ht="14.25" customHeight="1">
      <c r="A1337" s="7"/>
      <c r="B1337" s="8"/>
      <c r="C1337" s="8"/>
      <c r="D1337" s="8"/>
      <c r="E1337" s="8"/>
      <c r="F1337" s="8"/>
      <c r="G1337" s="8"/>
      <c r="H1337" s="8"/>
      <c r="I1337" s="9"/>
      <c r="J1337" s="9"/>
      <c r="K1337" s="18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ht="14.25" customHeight="1">
      <c r="A1338" s="7"/>
      <c r="B1338" s="8"/>
      <c r="C1338" s="8"/>
      <c r="D1338" s="8"/>
      <c r="E1338" s="8"/>
      <c r="F1338" s="8"/>
      <c r="G1338" s="8"/>
      <c r="H1338" s="8"/>
      <c r="I1338" s="9"/>
      <c r="J1338" s="9"/>
      <c r="K1338" s="18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ht="14.25" customHeight="1">
      <c r="A1339" s="7"/>
      <c r="B1339" s="8"/>
      <c r="C1339" s="8"/>
      <c r="D1339" s="8"/>
      <c r="E1339" s="8"/>
      <c r="F1339" s="8"/>
      <c r="G1339" s="8"/>
      <c r="H1339" s="8"/>
      <c r="I1339" s="9"/>
      <c r="J1339" s="9"/>
      <c r="K1339" s="18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ht="14.25" customHeight="1">
      <c r="A1340" s="7"/>
      <c r="B1340" s="8"/>
      <c r="C1340" s="8"/>
      <c r="D1340" s="8"/>
      <c r="E1340" s="8"/>
      <c r="F1340" s="8"/>
      <c r="G1340" s="8"/>
      <c r="H1340" s="8"/>
      <c r="I1340" s="9"/>
      <c r="J1340" s="9"/>
      <c r="K1340" s="18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ht="14.25" customHeight="1">
      <c r="A1341" s="7"/>
      <c r="B1341" s="8"/>
      <c r="C1341" s="8"/>
      <c r="D1341" s="8"/>
      <c r="E1341" s="8"/>
      <c r="F1341" s="8"/>
      <c r="G1341" s="8"/>
      <c r="H1341" s="8"/>
      <c r="I1341" s="9"/>
      <c r="J1341" s="9"/>
      <c r="K1341" s="18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ht="14.25" customHeight="1">
      <c r="A1342" s="7"/>
      <c r="B1342" s="8"/>
      <c r="C1342" s="8"/>
      <c r="D1342" s="8"/>
      <c r="E1342" s="8"/>
      <c r="F1342" s="8"/>
      <c r="G1342" s="8"/>
      <c r="H1342" s="8"/>
      <c r="I1342" s="9"/>
      <c r="J1342" s="9"/>
      <c r="K1342" s="18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ht="14.25" customHeight="1">
      <c r="A1343" s="7"/>
      <c r="B1343" s="8"/>
      <c r="C1343" s="8"/>
      <c r="D1343" s="8"/>
      <c r="E1343" s="8"/>
      <c r="F1343" s="8"/>
      <c r="G1343" s="8"/>
      <c r="H1343" s="8"/>
      <c r="I1343" s="9"/>
      <c r="J1343" s="9"/>
      <c r="K1343" s="18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ht="14.25" customHeight="1">
      <c r="A1344" s="7"/>
      <c r="B1344" s="8"/>
      <c r="C1344" s="8"/>
      <c r="D1344" s="8"/>
      <c r="E1344" s="8"/>
      <c r="F1344" s="8"/>
      <c r="G1344" s="8"/>
      <c r="H1344" s="8"/>
      <c r="I1344" s="9"/>
      <c r="J1344" s="9"/>
      <c r="K1344" s="18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ht="14.25" customHeight="1">
      <c r="A1345" s="7"/>
      <c r="B1345" s="8"/>
      <c r="C1345" s="8"/>
      <c r="D1345" s="8"/>
      <c r="E1345" s="8"/>
      <c r="F1345" s="8"/>
      <c r="G1345" s="8"/>
      <c r="H1345" s="8"/>
      <c r="I1345" s="9"/>
      <c r="J1345" s="9"/>
      <c r="K1345" s="18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ht="14.25" customHeight="1">
      <c r="A1346" s="7"/>
      <c r="B1346" s="8"/>
      <c r="C1346" s="8"/>
      <c r="D1346" s="8"/>
      <c r="E1346" s="8"/>
      <c r="F1346" s="8"/>
      <c r="G1346" s="8"/>
      <c r="H1346" s="8"/>
      <c r="I1346" s="9"/>
      <c r="J1346" s="9"/>
      <c r="K1346" s="18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ht="14.25" customHeight="1">
      <c r="A1347" s="7"/>
      <c r="B1347" s="8"/>
      <c r="C1347" s="8"/>
      <c r="D1347" s="8"/>
      <c r="E1347" s="8"/>
      <c r="F1347" s="8"/>
      <c r="G1347" s="8"/>
      <c r="H1347" s="8"/>
      <c r="I1347" s="9"/>
      <c r="J1347" s="9"/>
      <c r="K1347" s="18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ht="14.25" customHeight="1">
      <c r="A1348" s="7"/>
      <c r="B1348" s="8"/>
      <c r="C1348" s="8"/>
      <c r="D1348" s="8"/>
      <c r="E1348" s="8"/>
      <c r="F1348" s="8"/>
      <c r="G1348" s="8"/>
      <c r="H1348" s="8"/>
      <c r="I1348" s="9"/>
      <c r="J1348" s="9"/>
      <c r="K1348" s="18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ht="14.25" customHeight="1">
      <c r="A1349" s="7"/>
      <c r="B1349" s="8"/>
      <c r="C1349" s="8"/>
      <c r="D1349" s="8"/>
      <c r="E1349" s="8"/>
      <c r="F1349" s="8"/>
      <c r="G1349" s="8"/>
      <c r="H1349" s="8"/>
      <c r="I1349" s="9"/>
      <c r="J1349" s="9"/>
      <c r="K1349" s="18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ht="14.25" customHeight="1">
      <c r="A1350" s="7"/>
      <c r="B1350" s="8"/>
      <c r="C1350" s="8"/>
      <c r="D1350" s="8"/>
      <c r="E1350" s="8"/>
      <c r="F1350" s="8"/>
      <c r="G1350" s="8"/>
      <c r="H1350" s="8"/>
      <c r="I1350" s="9"/>
      <c r="J1350" s="9"/>
      <c r="K1350" s="18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ht="14.25" customHeight="1">
      <c r="A1351" s="7"/>
      <c r="B1351" s="8"/>
      <c r="C1351" s="8"/>
      <c r="D1351" s="8"/>
      <c r="E1351" s="8"/>
      <c r="F1351" s="8"/>
      <c r="G1351" s="8"/>
      <c r="H1351" s="8"/>
      <c r="I1351" s="9"/>
      <c r="J1351" s="9"/>
      <c r="K1351" s="18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ht="14.25" customHeight="1">
      <c r="A1352" s="7"/>
      <c r="B1352" s="8"/>
      <c r="C1352" s="8"/>
      <c r="D1352" s="8"/>
      <c r="E1352" s="8"/>
      <c r="F1352" s="8"/>
      <c r="G1352" s="8"/>
      <c r="H1352" s="8"/>
      <c r="I1352" s="9"/>
      <c r="J1352" s="9"/>
      <c r="K1352" s="18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ht="14.25" customHeight="1">
      <c r="A1353" s="7"/>
      <c r="B1353" s="8"/>
      <c r="C1353" s="8"/>
      <c r="D1353" s="8"/>
      <c r="E1353" s="8"/>
      <c r="F1353" s="8"/>
      <c r="G1353" s="8"/>
      <c r="H1353" s="8"/>
      <c r="I1353" s="9"/>
      <c r="J1353" s="9"/>
      <c r="K1353" s="18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ht="14.25" customHeight="1">
      <c r="A1354" s="7"/>
      <c r="B1354" s="8"/>
      <c r="C1354" s="8"/>
      <c r="D1354" s="8"/>
      <c r="E1354" s="8"/>
      <c r="F1354" s="8"/>
      <c r="G1354" s="8"/>
      <c r="H1354" s="8"/>
      <c r="I1354" s="9"/>
      <c r="J1354" s="9"/>
      <c r="K1354" s="18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ht="14.25" customHeight="1">
      <c r="A1355" s="7"/>
      <c r="B1355" s="8"/>
      <c r="C1355" s="8"/>
      <c r="D1355" s="8"/>
      <c r="E1355" s="8"/>
      <c r="F1355" s="8"/>
      <c r="G1355" s="8"/>
      <c r="H1355" s="8"/>
      <c r="I1355" s="9"/>
      <c r="J1355" s="9"/>
      <c r="K1355" s="18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ht="14.25" customHeight="1">
      <c r="A1356" s="7"/>
      <c r="B1356" s="8"/>
      <c r="C1356" s="8"/>
      <c r="D1356" s="8"/>
      <c r="E1356" s="8"/>
      <c r="F1356" s="8"/>
      <c r="G1356" s="8"/>
      <c r="H1356" s="8"/>
      <c r="I1356" s="9"/>
      <c r="J1356" s="9"/>
      <c r="K1356" s="18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ht="14.25" customHeight="1">
      <c r="A1357" s="7"/>
      <c r="B1357" s="8"/>
      <c r="C1357" s="8"/>
      <c r="D1357" s="8"/>
      <c r="E1357" s="8"/>
      <c r="F1357" s="8"/>
      <c r="G1357" s="8"/>
      <c r="H1357" s="8"/>
      <c r="I1357" s="9"/>
      <c r="J1357" s="9"/>
      <c r="K1357" s="18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ht="14.25" customHeight="1">
      <c r="A1358" s="7"/>
      <c r="B1358" s="8"/>
      <c r="C1358" s="8"/>
      <c r="D1358" s="8"/>
      <c r="E1358" s="8"/>
      <c r="F1358" s="8"/>
      <c r="G1358" s="8"/>
      <c r="H1358" s="8"/>
      <c r="I1358" s="9"/>
      <c r="J1358" s="9"/>
      <c r="K1358" s="18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ht="14.25" customHeight="1">
      <c r="A1359" s="7"/>
      <c r="B1359" s="8"/>
      <c r="C1359" s="8"/>
      <c r="D1359" s="8"/>
      <c r="E1359" s="8"/>
      <c r="F1359" s="8"/>
      <c r="G1359" s="8"/>
      <c r="H1359" s="8"/>
      <c r="I1359" s="9"/>
      <c r="J1359" s="9"/>
      <c r="K1359" s="18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ht="14.25" customHeight="1">
      <c r="A1360" s="7"/>
      <c r="B1360" s="8"/>
      <c r="C1360" s="8"/>
      <c r="D1360" s="8"/>
      <c r="E1360" s="8"/>
      <c r="F1360" s="8"/>
      <c r="G1360" s="8"/>
      <c r="H1360" s="8"/>
      <c r="I1360" s="9"/>
      <c r="J1360" s="9"/>
      <c r="K1360" s="18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ht="14.25" customHeight="1">
      <c r="A1361" s="7"/>
      <c r="B1361" s="8"/>
      <c r="C1361" s="8"/>
      <c r="D1361" s="8"/>
      <c r="E1361" s="8"/>
      <c r="F1361" s="8"/>
      <c r="G1361" s="8"/>
      <c r="H1361" s="8"/>
      <c r="I1361" s="9"/>
      <c r="J1361" s="9"/>
      <c r="K1361" s="18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ht="14.25" customHeight="1">
      <c r="A1362" s="7"/>
      <c r="B1362" s="8"/>
      <c r="C1362" s="8"/>
      <c r="D1362" s="8"/>
      <c r="E1362" s="8"/>
      <c r="F1362" s="8"/>
      <c r="G1362" s="8"/>
      <c r="H1362" s="8"/>
      <c r="I1362" s="9"/>
      <c r="J1362" s="9"/>
      <c r="K1362" s="18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ht="14.25" customHeight="1">
      <c r="A1363" s="7"/>
      <c r="B1363" s="8"/>
      <c r="C1363" s="8"/>
      <c r="D1363" s="8"/>
      <c r="E1363" s="8"/>
      <c r="F1363" s="8"/>
      <c r="G1363" s="8"/>
      <c r="H1363" s="8"/>
      <c r="I1363" s="9"/>
      <c r="J1363" s="9"/>
      <c r="K1363" s="18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ht="14.25" customHeight="1">
      <c r="A1364" s="7"/>
      <c r="B1364" s="8"/>
      <c r="C1364" s="8"/>
      <c r="D1364" s="8"/>
      <c r="E1364" s="8"/>
      <c r="F1364" s="8"/>
      <c r="G1364" s="8"/>
      <c r="H1364" s="8"/>
      <c r="I1364" s="9"/>
      <c r="J1364" s="9"/>
      <c r="K1364" s="18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ht="14.25" customHeight="1">
      <c r="A1365" s="7"/>
      <c r="B1365" s="8"/>
      <c r="C1365" s="8"/>
      <c r="D1365" s="8"/>
      <c r="E1365" s="8"/>
      <c r="F1365" s="8"/>
      <c r="G1365" s="8"/>
      <c r="H1365" s="8"/>
      <c r="I1365" s="9"/>
      <c r="J1365" s="9"/>
      <c r="K1365" s="18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ht="14.25" customHeight="1">
      <c r="A1366" s="7"/>
      <c r="B1366" s="8"/>
      <c r="C1366" s="8"/>
      <c r="D1366" s="8"/>
      <c r="E1366" s="8"/>
      <c r="F1366" s="8"/>
      <c r="G1366" s="8"/>
      <c r="H1366" s="8"/>
      <c r="I1366" s="9"/>
      <c r="J1366" s="9"/>
      <c r="K1366" s="18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ht="14.25" customHeight="1">
      <c r="A1367" s="7"/>
      <c r="B1367" s="8"/>
      <c r="C1367" s="8"/>
      <c r="D1367" s="8"/>
      <c r="E1367" s="8"/>
      <c r="F1367" s="8"/>
      <c r="G1367" s="8"/>
      <c r="H1367" s="8"/>
      <c r="I1367" s="9"/>
      <c r="J1367" s="9"/>
      <c r="K1367" s="18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ht="14.25" customHeight="1">
      <c r="A1368" s="7"/>
      <c r="B1368" s="8"/>
      <c r="C1368" s="8"/>
      <c r="D1368" s="8"/>
      <c r="E1368" s="8"/>
      <c r="F1368" s="8"/>
      <c r="G1368" s="8"/>
      <c r="H1368" s="8"/>
      <c r="I1368" s="9"/>
      <c r="J1368" s="9"/>
      <c r="K1368" s="18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ht="14.25" customHeight="1">
      <c r="A1369" s="7"/>
      <c r="B1369" s="8"/>
      <c r="C1369" s="8"/>
      <c r="D1369" s="8"/>
      <c r="E1369" s="8"/>
      <c r="F1369" s="8"/>
      <c r="G1369" s="8"/>
      <c r="H1369" s="8"/>
      <c r="I1369" s="9"/>
      <c r="J1369" s="9"/>
      <c r="K1369" s="18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ht="14.25" customHeight="1">
      <c r="A1370" s="7"/>
      <c r="B1370" s="8"/>
      <c r="C1370" s="8"/>
      <c r="D1370" s="8"/>
      <c r="E1370" s="8"/>
      <c r="F1370" s="8"/>
      <c r="G1370" s="8"/>
      <c r="H1370" s="8"/>
      <c r="I1370" s="9"/>
      <c r="J1370" s="9"/>
      <c r="K1370" s="18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ht="14.25" customHeight="1">
      <c r="A1371" s="7"/>
      <c r="B1371" s="8"/>
      <c r="C1371" s="8"/>
      <c r="D1371" s="8"/>
      <c r="E1371" s="8"/>
      <c r="F1371" s="8"/>
      <c r="G1371" s="8"/>
      <c r="H1371" s="8"/>
      <c r="I1371" s="9"/>
      <c r="J1371" s="9"/>
      <c r="K1371" s="18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ht="14.25" customHeight="1">
      <c r="A1372" s="7"/>
      <c r="B1372" s="8"/>
      <c r="C1372" s="8"/>
      <c r="D1372" s="8"/>
      <c r="E1372" s="8"/>
      <c r="F1372" s="8"/>
      <c r="G1372" s="8"/>
      <c r="H1372" s="8"/>
      <c r="I1372" s="9"/>
      <c r="J1372" s="9"/>
      <c r="K1372" s="18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ht="14.25" customHeight="1">
      <c r="A1373" s="7"/>
      <c r="B1373" s="8"/>
      <c r="C1373" s="8"/>
      <c r="D1373" s="8"/>
      <c r="E1373" s="8"/>
      <c r="F1373" s="8"/>
      <c r="G1373" s="8"/>
      <c r="H1373" s="8"/>
      <c r="I1373" s="9"/>
      <c r="J1373" s="9"/>
      <c r="K1373" s="18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ht="14.25" customHeight="1">
      <c r="A1374" s="7"/>
      <c r="B1374" s="8"/>
      <c r="C1374" s="8"/>
      <c r="D1374" s="8"/>
      <c r="E1374" s="8"/>
      <c r="F1374" s="8"/>
      <c r="G1374" s="8"/>
      <c r="H1374" s="8"/>
      <c r="I1374" s="9"/>
      <c r="J1374" s="9"/>
      <c r="K1374" s="18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ht="14.25" customHeight="1">
      <c r="A1375" s="7"/>
      <c r="B1375" s="8"/>
      <c r="C1375" s="8"/>
      <c r="D1375" s="8"/>
      <c r="E1375" s="8"/>
      <c r="F1375" s="8"/>
      <c r="G1375" s="8"/>
      <c r="H1375" s="8"/>
      <c r="I1375" s="9"/>
      <c r="J1375" s="9"/>
      <c r="K1375" s="18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ht="14.25" customHeight="1">
      <c r="A1376" s="7"/>
      <c r="B1376" s="8"/>
      <c r="C1376" s="8"/>
      <c r="D1376" s="8"/>
      <c r="E1376" s="8"/>
      <c r="F1376" s="8"/>
      <c r="G1376" s="8"/>
      <c r="H1376" s="8"/>
      <c r="I1376" s="9"/>
      <c r="J1376" s="9"/>
      <c r="K1376" s="18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ht="14.25" customHeight="1">
      <c r="A1377" s="7"/>
      <c r="B1377" s="8"/>
      <c r="C1377" s="8"/>
      <c r="D1377" s="8"/>
      <c r="E1377" s="8"/>
      <c r="F1377" s="8"/>
      <c r="G1377" s="8"/>
      <c r="H1377" s="8"/>
      <c r="I1377" s="9"/>
      <c r="J1377" s="9"/>
      <c r="K1377" s="18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ht="14.25" customHeight="1">
      <c r="A1378" s="7"/>
      <c r="B1378" s="8"/>
      <c r="C1378" s="8"/>
      <c r="D1378" s="8"/>
      <c r="E1378" s="8"/>
      <c r="F1378" s="8"/>
      <c r="G1378" s="8"/>
      <c r="H1378" s="8"/>
      <c r="I1378" s="9"/>
      <c r="J1378" s="9"/>
      <c r="K1378" s="18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ht="14.25" customHeight="1">
      <c r="A1379" s="7"/>
      <c r="B1379" s="8"/>
      <c r="C1379" s="8"/>
      <c r="D1379" s="8"/>
      <c r="E1379" s="8"/>
      <c r="F1379" s="8"/>
      <c r="G1379" s="8"/>
      <c r="H1379" s="8"/>
      <c r="I1379" s="9"/>
      <c r="J1379" s="9"/>
      <c r="K1379" s="18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ht="14.25" customHeight="1">
      <c r="A1380" s="7"/>
      <c r="B1380" s="8"/>
      <c r="C1380" s="8"/>
      <c r="D1380" s="8"/>
      <c r="E1380" s="8"/>
      <c r="F1380" s="8"/>
      <c r="G1380" s="8"/>
      <c r="H1380" s="8"/>
      <c r="I1380" s="9"/>
      <c r="J1380" s="9"/>
      <c r="K1380" s="18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ht="14.25" customHeight="1">
      <c r="A1381" s="7"/>
      <c r="B1381" s="8"/>
      <c r="C1381" s="8"/>
      <c r="D1381" s="8"/>
      <c r="E1381" s="8"/>
      <c r="F1381" s="8"/>
      <c r="G1381" s="8"/>
      <c r="H1381" s="8"/>
      <c r="I1381" s="9"/>
      <c r="J1381" s="9"/>
      <c r="K1381" s="18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ht="14.25" customHeight="1">
      <c r="A1382" s="7"/>
      <c r="B1382" s="8"/>
      <c r="C1382" s="8"/>
      <c r="D1382" s="8"/>
      <c r="E1382" s="8"/>
      <c r="F1382" s="8"/>
      <c r="G1382" s="8"/>
      <c r="H1382" s="8"/>
      <c r="I1382" s="9"/>
      <c r="J1382" s="9"/>
      <c r="K1382" s="18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ht="14.25" customHeight="1">
      <c r="A1383" s="7"/>
      <c r="B1383" s="8"/>
      <c r="C1383" s="8"/>
      <c r="D1383" s="8"/>
      <c r="E1383" s="8"/>
      <c r="F1383" s="8"/>
      <c r="G1383" s="8"/>
      <c r="H1383" s="8"/>
      <c r="I1383" s="9"/>
      <c r="J1383" s="9"/>
      <c r="K1383" s="18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ht="14.25" customHeight="1">
      <c r="A1384" s="7"/>
      <c r="B1384" s="8"/>
      <c r="C1384" s="8"/>
      <c r="D1384" s="8"/>
      <c r="E1384" s="8"/>
      <c r="F1384" s="8"/>
      <c r="G1384" s="8"/>
      <c r="H1384" s="8"/>
      <c r="I1384" s="9"/>
      <c r="J1384" s="9"/>
      <c r="K1384" s="18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ht="14.25" customHeight="1">
      <c r="A1385" s="7"/>
      <c r="B1385" s="8"/>
      <c r="C1385" s="8"/>
      <c r="D1385" s="8"/>
      <c r="E1385" s="8"/>
      <c r="F1385" s="8"/>
      <c r="G1385" s="8"/>
      <c r="H1385" s="8"/>
      <c r="I1385" s="9"/>
      <c r="J1385" s="9"/>
      <c r="K1385" s="18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ht="14.25" customHeight="1">
      <c r="A1386" s="7"/>
      <c r="B1386" s="8"/>
      <c r="C1386" s="8"/>
      <c r="D1386" s="8"/>
      <c r="E1386" s="8"/>
      <c r="F1386" s="8"/>
      <c r="G1386" s="8"/>
      <c r="H1386" s="8"/>
      <c r="I1386" s="9"/>
      <c r="J1386" s="9"/>
      <c r="K1386" s="18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ht="14.25" customHeight="1">
      <c r="A1387" s="7"/>
      <c r="B1387" s="8"/>
      <c r="C1387" s="8"/>
      <c r="D1387" s="8"/>
      <c r="E1387" s="8"/>
      <c r="F1387" s="8"/>
      <c r="G1387" s="8"/>
      <c r="H1387" s="8"/>
      <c r="I1387" s="9"/>
      <c r="J1387" s="9"/>
      <c r="K1387" s="18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ht="14.25" customHeight="1">
      <c r="A1388" s="7"/>
      <c r="B1388" s="8"/>
      <c r="C1388" s="8"/>
      <c r="D1388" s="8"/>
      <c r="E1388" s="8"/>
      <c r="F1388" s="8"/>
      <c r="G1388" s="8"/>
      <c r="H1388" s="8"/>
      <c r="I1388" s="9"/>
      <c r="J1388" s="9"/>
      <c r="K1388" s="18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ht="14.25" customHeight="1">
      <c r="A1389" s="7"/>
      <c r="B1389" s="8"/>
      <c r="C1389" s="8"/>
      <c r="D1389" s="8"/>
      <c r="E1389" s="8"/>
      <c r="F1389" s="8"/>
      <c r="G1389" s="8"/>
      <c r="H1389" s="8"/>
      <c r="I1389" s="9"/>
      <c r="J1389" s="9"/>
      <c r="K1389" s="18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ht="14.25" customHeight="1">
      <c r="A1390" s="7"/>
      <c r="B1390" s="8"/>
      <c r="C1390" s="8"/>
      <c r="D1390" s="8"/>
      <c r="E1390" s="8"/>
      <c r="F1390" s="8"/>
      <c r="G1390" s="8"/>
      <c r="H1390" s="8"/>
      <c r="I1390" s="9"/>
      <c r="J1390" s="9"/>
      <c r="K1390" s="18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ht="14.25" customHeight="1">
      <c r="A1391" s="7"/>
      <c r="B1391" s="8"/>
      <c r="C1391" s="8"/>
      <c r="D1391" s="8"/>
      <c r="E1391" s="8"/>
      <c r="F1391" s="8"/>
      <c r="G1391" s="8"/>
      <c r="H1391" s="8"/>
      <c r="I1391" s="9"/>
      <c r="J1391" s="9"/>
      <c r="K1391" s="18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ht="14.25" customHeight="1">
      <c r="A1392" s="7"/>
      <c r="B1392" s="8"/>
      <c r="C1392" s="8"/>
      <c r="D1392" s="8"/>
      <c r="E1392" s="8"/>
      <c r="F1392" s="8"/>
      <c r="G1392" s="8"/>
      <c r="H1392" s="8"/>
      <c r="I1392" s="9"/>
      <c r="J1392" s="9"/>
      <c r="K1392" s="18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ht="14.25" customHeight="1">
      <c r="A1393" s="7"/>
      <c r="B1393" s="8"/>
      <c r="C1393" s="8"/>
      <c r="D1393" s="8"/>
      <c r="E1393" s="8"/>
      <c r="F1393" s="8"/>
      <c r="G1393" s="8"/>
      <c r="H1393" s="8"/>
      <c r="I1393" s="9"/>
      <c r="J1393" s="9"/>
      <c r="K1393" s="18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ht="14.25" customHeight="1">
      <c r="A1394" s="7"/>
      <c r="B1394" s="8"/>
      <c r="C1394" s="8"/>
      <c r="D1394" s="8"/>
      <c r="E1394" s="8"/>
      <c r="F1394" s="8"/>
      <c r="G1394" s="8"/>
      <c r="H1394" s="8"/>
      <c r="I1394" s="9"/>
      <c r="J1394" s="9"/>
      <c r="K1394" s="18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ht="14.25" customHeight="1">
      <c r="A1395" s="7"/>
      <c r="B1395" s="8"/>
      <c r="C1395" s="8"/>
      <c r="D1395" s="8"/>
      <c r="E1395" s="8"/>
      <c r="F1395" s="8"/>
      <c r="G1395" s="8"/>
      <c r="H1395" s="8"/>
      <c r="I1395" s="9"/>
      <c r="J1395" s="9"/>
      <c r="K1395" s="18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ht="14.25" customHeight="1">
      <c r="A1396" s="7"/>
      <c r="B1396" s="8"/>
      <c r="C1396" s="8"/>
      <c r="D1396" s="8"/>
      <c r="E1396" s="8"/>
      <c r="F1396" s="8"/>
      <c r="G1396" s="8"/>
      <c r="H1396" s="8"/>
      <c r="I1396" s="9"/>
      <c r="J1396" s="9"/>
      <c r="K1396" s="18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ht="14.25" customHeight="1">
      <c r="A1397" s="7"/>
      <c r="B1397" s="8"/>
      <c r="C1397" s="8"/>
      <c r="D1397" s="8"/>
      <c r="E1397" s="8"/>
      <c r="F1397" s="8"/>
      <c r="G1397" s="8"/>
      <c r="H1397" s="8"/>
      <c r="I1397" s="9"/>
      <c r="J1397" s="9"/>
      <c r="K1397" s="18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ht="14.25" customHeight="1">
      <c r="A1398" s="7"/>
      <c r="B1398" s="8"/>
      <c r="C1398" s="8"/>
      <c r="D1398" s="8"/>
      <c r="E1398" s="8"/>
      <c r="F1398" s="8"/>
      <c r="G1398" s="8"/>
      <c r="H1398" s="8"/>
      <c r="I1398" s="9"/>
      <c r="J1398" s="9"/>
      <c r="K1398" s="18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ht="14.25" customHeight="1">
      <c r="A1399" s="7"/>
      <c r="B1399" s="8"/>
      <c r="C1399" s="8"/>
      <c r="D1399" s="8"/>
      <c r="E1399" s="8"/>
      <c r="F1399" s="8"/>
      <c r="G1399" s="8"/>
      <c r="H1399" s="8"/>
      <c r="I1399" s="9"/>
      <c r="J1399" s="9"/>
      <c r="K1399" s="18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ht="14.25" customHeight="1">
      <c r="A1400" s="7"/>
      <c r="B1400" s="8"/>
      <c r="C1400" s="8"/>
      <c r="D1400" s="8"/>
      <c r="E1400" s="8"/>
      <c r="F1400" s="8"/>
      <c r="G1400" s="8"/>
      <c r="H1400" s="8"/>
      <c r="I1400" s="9"/>
      <c r="J1400" s="9"/>
      <c r="K1400" s="18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ht="14.25" customHeight="1">
      <c r="A1401" s="7"/>
      <c r="B1401" s="8"/>
      <c r="C1401" s="8"/>
      <c r="D1401" s="8"/>
      <c r="E1401" s="8"/>
      <c r="F1401" s="8"/>
      <c r="G1401" s="8"/>
      <c r="H1401" s="8"/>
      <c r="I1401" s="9"/>
      <c r="J1401" s="9"/>
      <c r="K1401" s="18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ht="14.25" customHeight="1">
      <c r="A1402" s="7"/>
      <c r="B1402" s="8"/>
      <c r="C1402" s="8"/>
      <c r="D1402" s="8"/>
      <c r="E1402" s="8"/>
      <c r="F1402" s="8"/>
      <c r="G1402" s="8"/>
      <c r="H1402" s="8"/>
      <c r="I1402" s="9"/>
      <c r="J1402" s="9"/>
      <c r="K1402" s="18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ht="14.25" customHeight="1">
      <c r="A1403" s="7"/>
      <c r="B1403" s="8"/>
      <c r="C1403" s="8"/>
      <c r="D1403" s="8"/>
      <c r="E1403" s="8"/>
      <c r="F1403" s="8"/>
      <c r="G1403" s="8"/>
      <c r="H1403" s="8"/>
      <c r="I1403" s="9"/>
      <c r="J1403" s="9"/>
      <c r="K1403" s="18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ht="14.25" customHeight="1">
      <c r="A1404" s="7"/>
      <c r="B1404" s="8"/>
      <c r="C1404" s="8"/>
      <c r="D1404" s="8"/>
      <c r="E1404" s="8"/>
      <c r="F1404" s="8"/>
      <c r="G1404" s="8"/>
      <c r="H1404" s="8"/>
      <c r="I1404" s="9"/>
      <c r="J1404" s="9"/>
      <c r="K1404" s="18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ht="14.25" customHeight="1">
      <c r="A1405" s="7"/>
      <c r="B1405" s="8"/>
      <c r="C1405" s="8"/>
      <c r="D1405" s="8"/>
      <c r="E1405" s="8"/>
      <c r="F1405" s="8"/>
      <c r="G1405" s="8"/>
      <c r="H1405" s="8"/>
      <c r="I1405" s="9"/>
      <c r="J1405" s="9"/>
      <c r="K1405" s="18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ht="14.25" customHeight="1">
      <c r="A1406" s="7"/>
      <c r="B1406" s="8"/>
      <c r="C1406" s="8"/>
      <c r="D1406" s="8"/>
      <c r="E1406" s="8"/>
      <c r="F1406" s="8"/>
      <c r="G1406" s="8"/>
      <c r="H1406" s="8"/>
      <c r="I1406" s="9"/>
      <c r="J1406" s="9"/>
      <c r="K1406" s="18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ht="14.25" customHeight="1">
      <c r="A1407" s="7"/>
      <c r="B1407" s="8"/>
      <c r="C1407" s="8"/>
      <c r="D1407" s="8"/>
      <c r="E1407" s="8"/>
      <c r="F1407" s="8"/>
      <c r="G1407" s="8"/>
      <c r="H1407" s="8"/>
      <c r="I1407" s="9"/>
      <c r="J1407" s="9"/>
      <c r="K1407" s="18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ht="14.25" customHeight="1">
      <c r="A1408" s="7"/>
      <c r="B1408" s="8"/>
      <c r="C1408" s="8"/>
      <c r="D1408" s="8"/>
      <c r="E1408" s="8"/>
      <c r="F1408" s="8"/>
      <c r="G1408" s="8"/>
      <c r="H1408" s="8"/>
      <c r="I1408" s="9"/>
      <c r="J1408" s="9"/>
      <c r="K1408" s="18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ht="14.25" customHeight="1">
      <c r="A1409" s="7"/>
      <c r="B1409" s="8"/>
      <c r="C1409" s="8"/>
      <c r="D1409" s="8"/>
      <c r="E1409" s="8"/>
      <c r="F1409" s="8"/>
      <c r="G1409" s="8"/>
      <c r="H1409" s="8"/>
      <c r="I1409" s="9"/>
      <c r="J1409" s="9"/>
      <c r="K1409" s="18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ht="14.25" customHeight="1">
      <c r="A1410" s="7"/>
      <c r="B1410" s="8"/>
      <c r="C1410" s="8"/>
      <c r="D1410" s="8"/>
      <c r="E1410" s="8"/>
      <c r="F1410" s="8"/>
      <c r="G1410" s="8"/>
      <c r="H1410" s="8"/>
      <c r="I1410" s="9"/>
      <c r="J1410" s="9"/>
      <c r="K1410" s="18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ht="14.25" customHeight="1">
      <c r="A1411" s="7"/>
      <c r="B1411" s="8"/>
      <c r="C1411" s="8"/>
      <c r="D1411" s="8"/>
      <c r="E1411" s="8"/>
      <c r="F1411" s="8"/>
      <c r="G1411" s="8"/>
      <c r="H1411" s="8"/>
      <c r="I1411" s="9"/>
      <c r="J1411" s="9"/>
      <c r="K1411" s="18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ht="14.25" customHeight="1">
      <c r="A1412" s="7"/>
      <c r="B1412" s="8"/>
      <c r="C1412" s="8"/>
      <c r="D1412" s="8"/>
      <c r="E1412" s="8"/>
      <c r="F1412" s="8"/>
      <c r="G1412" s="8"/>
      <c r="H1412" s="8"/>
      <c r="I1412" s="9"/>
      <c r="J1412" s="9"/>
      <c r="K1412" s="18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ht="14.25" customHeight="1">
      <c r="A1413" s="7"/>
      <c r="B1413" s="8"/>
      <c r="C1413" s="8"/>
      <c r="D1413" s="8"/>
      <c r="E1413" s="8"/>
      <c r="F1413" s="8"/>
      <c r="G1413" s="8"/>
      <c r="H1413" s="8"/>
      <c r="I1413" s="9"/>
      <c r="J1413" s="9"/>
      <c r="K1413" s="18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ht="14.25" customHeight="1">
      <c r="A1414" s="7"/>
      <c r="B1414" s="8"/>
      <c r="C1414" s="8"/>
      <c r="D1414" s="8"/>
      <c r="E1414" s="8"/>
      <c r="F1414" s="8"/>
      <c r="G1414" s="8"/>
      <c r="H1414" s="8"/>
      <c r="I1414" s="9"/>
      <c r="J1414" s="9"/>
      <c r="K1414" s="18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ht="14.25" customHeight="1">
      <c r="A1415" s="7"/>
      <c r="B1415" s="8"/>
      <c r="C1415" s="8"/>
      <c r="D1415" s="8"/>
      <c r="E1415" s="8"/>
      <c r="F1415" s="8"/>
      <c r="G1415" s="8"/>
      <c r="H1415" s="8"/>
      <c r="I1415" s="9"/>
      <c r="J1415" s="9"/>
      <c r="K1415" s="18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ht="14.25" customHeight="1">
      <c r="A1416" s="7"/>
      <c r="B1416" s="8"/>
      <c r="C1416" s="8"/>
      <c r="D1416" s="8"/>
      <c r="E1416" s="8"/>
      <c r="F1416" s="8"/>
      <c r="G1416" s="8"/>
      <c r="H1416" s="8"/>
      <c r="I1416" s="9"/>
      <c r="J1416" s="9"/>
      <c r="K1416" s="18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ht="14.25" customHeight="1">
      <c r="A1417" s="7"/>
      <c r="B1417" s="8"/>
      <c r="C1417" s="8"/>
      <c r="D1417" s="8"/>
      <c r="E1417" s="8"/>
      <c r="F1417" s="8"/>
      <c r="G1417" s="8"/>
      <c r="H1417" s="8"/>
      <c r="I1417" s="9"/>
      <c r="J1417" s="9"/>
      <c r="K1417" s="18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ht="14.25" customHeight="1">
      <c r="A1418" s="7"/>
      <c r="B1418" s="8"/>
      <c r="C1418" s="8"/>
      <c r="D1418" s="8"/>
      <c r="E1418" s="8"/>
      <c r="F1418" s="8"/>
      <c r="G1418" s="8"/>
      <c r="H1418" s="8"/>
      <c r="I1418" s="9"/>
      <c r="J1418" s="9"/>
      <c r="K1418" s="18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ht="14.25" customHeight="1">
      <c r="A1419" s="7"/>
      <c r="B1419" s="8"/>
      <c r="C1419" s="8"/>
      <c r="D1419" s="8"/>
      <c r="E1419" s="8"/>
      <c r="F1419" s="8"/>
      <c r="G1419" s="8"/>
      <c r="H1419" s="8"/>
      <c r="I1419" s="9"/>
      <c r="J1419" s="9"/>
      <c r="K1419" s="18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ht="14.25" customHeight="1">
      <c r="A1420" s="7"/>
      <c r="B1420" s="8"/>
      <c r="C1420" s="8"/>
      <c r="D1420" s="8"/>
      <c r="E1420" s="8"/>
      <c r="F1420" s="8"/>
      <c r="G1420" s="8"/>
      <c r="H1420" s="8"/>
      <c r="I1420" s="9"/>
      <c r="J1420" s="9"/>
      <c r="K1420" s="18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ht="14.25" customHeight="1">
      <c r="A1421" s="7"/>
      <c r="B1421" s="8"/>
      <c r="C1421" s="8"/>
      <c r="D1421" s="8"/>
      <c r="E1421" s="8"/>
      <c r="F1421" s="8"/>
      <c r="G1421" s="8"/>
      <c r="H1421" s="8"/>
      <c r="I1421" s="9"/>
      <c r="J1421" s="9"/>
      <c r="K1421" s="18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ht="14.25" customHeight="1">
      <c r="A1422" s="7"/>
      <c r="B1422" s="8"/>
      <c r="C1422" s="8"/>
      <c r="D1422" s="8"/>
      <c r="E1422" s="8"/>
      <c r="F1422" s="8"/>
      <c r="G1422" s="8"/>
      <c r="H1422" s="8"/>
      <c r="I1422" s="9"/>
      <c r="J1422" s="9"/>
      <c r="K1422" s="18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ht="14.25" customHeight="1">
      <c r="A1423" s="7"/>
      <c r="B1423" s="8"/>
      <c r="C1423" s="8"/>
      <c r="D1423" s="8"/>
      <c r="E1423" s="8"/>
      <c r="F1423" s="8"/>
      <c r="G1423" s="8"/>
      <c r="H1423" s="8"/>
      <c r="I1423" s="9"/>
      <c r="J1423" s="9"/>
      <c r="K1423" s="18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ht="14.25" customHeight="1">
      <c r="A1424" s="7"/>
      <c r="B1424" s="8"/>
      <c r="C1424" s="8"/>
      <c r="D1424" s="8"/>
      <c r="E1424" s="8"/>
      <c r="F1424" s="8"/>
      <c r="G1424" s="8"/>
      <c r="H1424" s="8"/>
      <c r="I1424" s="9"/>
      <c r="J1424" s="9"/>
      <c r="K1424" s="18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ht="14.25" customHeight="1">
      <c r="A1425" s="7"/>
      <c r="B1425" s="8"/>
      <c r="C1425" s="8"/>
      <c r="D1425" s="8"/>
      <c r="E1425" s="8"/>
      <c r="F1425" s="8"/>
      <c r="G1425" s="8"/>
      <c r="H1425" s="8"/>
      <c r="I1425" s="9"/>
      <c r="J1425" s="9"/>
      <c r="K1425" s="18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ht="14.25" customHeight="1">
      <c r="A1426" s="7"/>
      <c r="B1426" s="8"/>
      <c r="C1426" s="8"/>
      <c r="D1426" s="8"/>
      <c r="E1426" s="8"/>
      <c r="F1426" s="8"/>
      <c r="G1426" s="8"/>
      <c r="H1426" s="8"/>
      <c r="I1426" s="9"/>
      <c r="J1426" s="9"/>
      <c r="K1426" s="18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ht="14.25" customHeight="1">
      <c r="A1427" s="7"/>
      <c r="B1427" s="8"/>
      <c r="C1427" s="8"/>
      <c r="D1427" s="8"/>
      <c r="E1427" s="8"/>
      <c r="F1427" s="8"/>
      <c r="G1427" s="8"/>
      <c r="H1427" s="8"/>
      <c r="I1427" s="9"/>
      <c r="J1427" s="9"/>
      <c r="K1427" s="18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ht="14.25" customHeight="1">
      <c r="A1428" s="7"/>
      <c r="B1428" s="8"/>
      <c r="C1428" s="8"/>
      <c r="D1428" s="8"/>
      <c r="E1428" s="8"/>
      <c r="F1428" s="8"/>
      <c r="G1428" s="8"/>
      <c r="H1428" s="8"/>
      <c r="I1428" s="9"/>
      <c r="J1428" s="9"/>
      <c r="K1428" s="18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ht="14.25" customHeight="1">
      <c r="A1429" s="7"/>
      <c r="B1429" s="8"/>
      <c r="C1429" s="8"/>
      <c r="D1429" s="8"/>
      <c r="E1429" s="8"/>
      <c r="F1429" s="8"/>
      <c r="G1429" s="8"/>
      <c r="H1429" s="8"/>
      <c r="I1429" s="9"/>
      <c r="J1429" s="9"/>
      <c r="K1429" s="18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ht="14.25" customHeight="1">
      <c r="A1430" s="7"/>
      <c r="B1430" s="8"/>
      <c r="C1430" s="8"/>
      <c r="D1430" s="8"/>
      <c r="E1430" s="8"/>
      <c r="F1430" s="8"/>
      <c r="G1430" s="8"/>
      <c r="H1430" s="8"/>
      <c r="I1430" s="9"/>
      <c r="J1430" s="9"/>
      <c r="K1430" s="18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ht="14.25" customHeight="1">
      <c r="A1431" s="7"/>
      <c r="B1431" s="8"/>
      <c r="C1431" s="8"/>
      <c r="D1431" s="8"/>
      <c r="E1431" s="8"/>
      <c r="F1431" s="8"/>
      <c r="G1431" s="8"/>
      <c r="H1431" s="8"/>
      <c r="I1431" s="9"/>
      <c r="J1431" s="9"/>
      <c r="K1431" s="18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ht="14.25" customHeight="1">
      <c r="A1432" s="7"/>
      <c r="B1432" s="8"/>
      <c r="C1432" s="8"/>
      <c r="D1432" s="8"/>
      <c r="E1432" s="8"/>
      <c r="F1432" s="8"/>
      <c r="G1432" s="8"/>
      <c r="H1432" s="8"/>
      <c r="I1432" s="9"/>
      <c r="J1432" s="9"/>
      <c r="K1432" s="18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ht="14.25" customHeight="1">
      <c r="A1433" s="7"/>
      <c r="B1433" s="8"/>
      <c r="C1433" s="8"/>
      <c r="D1433" s="8"/>
      <c r="E1433" s="8"/>
      <c r="F1433" s="8"/>
      <c r="G1433" s="8"/>
      <c r="H1433" s="8"/>
      <c r="I1433" s="9"/>
      <c r="J1433" s="9"/>
      <c r="K1433" s="18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ht="14.25" customHeight="1">
      <c r="A1434" s="7"/>
      <c r="B1434" s="8"/>
      <c r="C1434" s="8"/>
      <c r="D1434" s="8"/>
      <c r="E1434" s="8"/>
      <c r="F1434" s="8"/>
      <c r="G1434" s="8"/>
      <c r="H1434" s="8"/>
      <c r="I1434" s="9"/>
      <c r="J1434" s="9"/>
      <c r="K1434" s="18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ht="14.25" customHeight="1">
      <c r="A1435" s="7"/>
      <c r="B1435" s="8"/>
      <c r="C1435" s="8"/>
      <c r="D1435" s="8"/>
      <c r="E1435" s="8"/>
      <c r="F1435" s="8"/>
      <c r="G1435" s="8"/>
      <c r="H1435" s="8"/>
      <c r="I1435" s="9"/>
      <c r="J1435" s="9"/>
      <c r="K1435" s="18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ht="14.25" customHeight="1">
      <c r="A1436" s="7"/>
      <c r="B1436" s="8"/>
      <c r="C1436" s="8"/>
      <c r="D1436" s="8"/>
      <c r="E1436" s="8"/>
      <c r="F1436" s="8"/>
      <c r="G1436" s="8"/>
      <c r="H1436" s="8"/>
      <c r="I1436" s="9"/>
      <c r="J1436" s="9"/>
      <c r="K1436" s="18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ht="14.25" customHeight="1">
      <c r="A1437" s="7"/>
      <c r="B1437" s="8"/>
      <c r="C1437" s="8"/>
      <c r="D1437" s="8"/>
      <c r="E1437" s="8"/>
      <c r="F1437" s="8"/>
      <c r="G1437" s="8"/>
      <c r="H1437" s="8"/>
      <c r="I1437" s="9"/>
      <c r="J1437" s="9"/>
      <c r="K1437" s="18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ht="14.25" customHeight="1">
      <c r="A1438" s="7"/>
      <c r="B1438" s="8"/>
      <c r="C1438" s="8"/>
      <c r="D1438" s="8"/>
      <c r="E1438" s="8"/>
      <c r="F1438" s="8"/>
      <c r="G1438" s="8"/>
      <c r="H1438" s="8"/>
      <c r="I1438" s="9"/>
      <c r="J1438" s="9"/>
      <c r="K1438" s="18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ht="14.25" customHeight="1">
      <c r="A1439" s="7"/>
      <c r="B1439" s="8"/>
      <c r="C1439" s="8"/>
      <c r="D1439" s="8"/>
      <c r="E1439" s="8"/>
      <c r="F1439" s="8"/>
      <c r="G1439" s="8"/>
      <c r="H1439" s="8"/>
      <c r="I1439" s="9"/>
      <c r="J1439" s="9"/>
      <c r="K1439" s="18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ht="14.25" customHeight="1">
      <c r="A1440" s="7"/>
      <c r="B1440" s="8"/>
      <c r="C1440" s="8"/>
      <c r="D1440" s="8"/>
      <c r="E1440" s="8"/>
      <c r="F1440" s="8"/>
      <c r="G1440" s="8"/>
      <c r="H1440" s="8"/>
      <c r="I1440" s="9"/>
      <c r="J1440" s="9"/>
      <c r="K1440" s="18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ht="14.25" customHeight="1">
      <c r="A1441" s="7"/>
      <c r="B1441" s="8"/>
      <c r="C1441" s="8"/>
      <c r="D1441" s="8"/>
      <c r="E1441" s="8"/>
      <c r="F1441" s="8"/>
      <c r="G1441" s="8"/>
      <c r="H1441" s="8"/>
      <c r="I1441" s="9"/>
      <c r="J1441" s="9"/>
      <c r="K1441" s="18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ht="14.25" customHeight="1">
      <c r="A1442" s="7"/>
      <c r="B1442" s="8"/>
      <c r="C1442" s="8"/>
      <c r="D1442" s="8"/>
      <c r="E1442" s="8"/>
      <c r="F1442" s="8"/>
      <c r="G1442" s="8"/>
      <c r="H1442" s="8"/>
      <c r="I1442" s="9"/>
      <c r="J1442" s="9"/>
      <c r="K1442" s="18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ht="14.25" customHeight="1">
      <c r="A1443" s="7"/>
      <c r="B1443" s="8"/>
      <c r="C1443" s="8"/>
      <c r="D1443" s="8"/>
      <c r="E1443" s="8"/>
      <c r="F1443" s="8"/>
      <c r="G1443" s="8"/>
      <c r="H1443" s="8"/>
      <c r="I1443" s="9"/>
      <c r="J1443" s="9"/>
      <c r="K1443" s="18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ht="14.25" customHeight="1">
      <c r="A1444" s="7"/>
      <c r="B1444" s="8"/>
      <c r="C1444" s="8"/>
      <c r="D1444" s="8"/>
      <c r="E1444" s="8"/>
      <c r="F1444" s="8"/>
      <c r="G1444" s="8"/>
      <c r="H1444" s="8"/>
      <c r="I1444" s="9"/>
      <c r="J1444" s="9"/>
      <c r="K1444" s="18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ht="14.25" customHeight="1">
      <c r="A1445" s="7"/>
      <c r="B1445" s="8"/>
      <c r="C1445" s="8"/>
      <c r="D1445" s="8"/>
      <c r="E1445" s="8"/>
      <c r="F1445" s="8"/>
      <c r="G1445" s="8"/>
      <c r="H1445" s="8"/>
      <c r="I1445" s="9"/>
      <c r="J1445" s="9"/>
      <c r="K1445" s="18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ht="14.25" customHeight="1">
      <c r="A1446" s="7"/>
      <c r="B1446" s="8"/>
      <c r="C1446" s="8"/>
      <c r="D1446" s="8"/>
      <c r="E1446" s="8"/>
      <c r="F1446" s="8"/>
      <c r="G1446" s="8"/>
      <c r="H1446" s="8"/>
      <c r="I1446" s="9"/>
      <c r="J1446" s="9"/>
      <c r="K1446" s="18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ht="14.25" customHeight="1">
      <c r="A1447" s="7"/>
      <c r="B1447" s="8"/>
      <c r="C1447" s="8"/>
      <c r="D1447" s="8"/>
      <c r="E1447" s="8"/>
      <c r="F1447" s="8"/>
      <c r="G1447" s="8"/>
      <c r="H1447" s="8"/>
      <c r="I1447" s="9"/>
      <c r="J1447" s="9"/>
      <c r="K1447" s="18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ht="14.25" customHeight="1">
      <c r="A1448" s="7"/>
      <c r="B1448" s="8"/>
      <c r="C1448" s="8"/>
      <c r="D1448" s="8"/>
      <c r="E1448" s="8"/>
      <c r="F1448" s="8"/>
      <c r="G1448" s="8"/>
      <c r="H1448" s="8"/>
      <c r="I1448" s="9"/>
      <c r="J1448" s="9"/>
      <c r="K1448" s="18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ht="14.25" customHeight="1">
      <c r="A1449" s="7"/>
      <c r="B1449" s="8"/>
      <c r="C1449" s="8"/>
      <c r="D1449" s="8"/>
      <c r="E1449" s="8"/>
      <c r="F1449" s="8"/>
      <c r="G1449" s="8"/>
      <c r="H1449" s="8"/>
      <c r="I1449" s="9"/>
      <c r="J1449" s="9"/>
      <c r="K1449" s="18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ht="14.25" customHeight="1">
      <c r="A1450" s="7"/>
      <c r="B1450" s="8"/>
      <c r="C1450" s="8"/>
      <c r="D1450" s="8"/>
      <c r="E1450" s="8"/>
      <c r="F1450" s="8"/>
      <c r="G1450" s="8"/>
      <c r="H1450" s="8"/>
      <c r="I1450" s="9"/>
      <c r="J1450" s="9"/>
      <c r="K1450" s="18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ht="14.25" customHeight="1">
      <c r="A1451" s="7"/>
      <c r="B1451" s="8"/>
      <c r="C1451" s="8"/>
      <c r="D1451" s="8"/>
      <c r="E1451" s="8"/>
      <c r="F1451" s="8"/>
      <c r="G1451" s="8"/>
      <c r="H1451" s="8"/>
      <c r="I1451" s="9"/>
      <c r="J1451" s="9"/>
      <c r="K1451" s="18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ht="14.25" customHeight="1">
      <c r="A1452" s="7"/>
      <c r="B1452" s="8"/>
      <c r="C1452" s="8"/>
      <c r="D1452" s="8"/>
      <c r="E1452" s="8"/>
      <c r="F1452" s="8"/>
      <c r="G1452" s="8"/>
      <c r="H1452" s="8"/>
      <c r="I1452" s="9"/>
      <c r="J1452" s="9"/>
      <c r="K1452" s="18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ht="14.25" customHeight="1">
      <c r="A1453" s="7"/>
      <c r="B1453" s="8"/>
      <c r="C1453" s="8"/>
      <c r="D1453" s="8"/>
      <c r="E1453" s="8"/>
      <c r="F1453" s="8"/>
      <c r="G1453" s="8"/>
      <c r="H1453" s="8"/>
      <c r="I1453" s="9"/>
      <c r="J1453" s="9"/>
      <c r="K1453" s="18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ht="14.25" customHeight="1">
      <c r="A1454" s="7"/>
      <c r="B1454" s="8"/>
      <c r="C1454" s="8"/>
      <c r="D1454" s="8"/>
      <c r="E1454" s="8"/>
      <c r="F1454" s="8"/>
      <c r="G1454" s="8"/>
      <c r="H1454" s="8"/>
      <c r="I1454" s="9"/>
      <c r="J1454" s="9"/>
      <c r="K1454" s="18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ht="14.25" customHeight="1">
      <c r="A1455" s="7"/>
      <c r="B1455" s="8"/>
      <c r="C1455" s="8"/>
      <c r="D1455" s="8"/>
      <c r="E1455" s="8"/>
      <c r="F1455" s="8"/>
      <c r="G1455" s="8"/>
      <c r="H1455" s="8"/>
      <c r="I1455" s="9"/>
      <c r="J1455" s="9"/>
      <c r="K1455" s="18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ht="14.25" customHeight="1">
      <c r="A1456" s="7"/>
      <c r="B1456" s="8"/>
      <c r="C1456" s="8"/>
      <c r="D1456" s="8"/>
      <c r="E1456" s="8"/>
      <c r="F1456" s="8"/>
      <c r="G1456" s="8"/>
      <c r="H1456" s="8"/>
      <c r="I1456" s="9"/>
      <c r="J1456" s="9"/>
      <c r="K1456" s="18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ht="14.25" customHeight="1">
      <c r="A1457" s="7"/>
      <c r="B1457" s="8"/>
      <c r="C1457" s="8"/>
      <c r="D1457" s="8"/>
      <c r="E1457" s="8"/>
      <c r="F1457" s="8"/>
      <c r="G1457" s="8"/>
      <c r="H1457" s="8"/>
      <c r="I1457" s="9"/>
      <c r="J1457" s="9"/>
      <c r="K1457" s="18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ht="14.25" customHeight="1">
      <c r="A1458" s="7"/>
      <c r="B1458" s="8"/>
      <c r="C1458" s="8"/>
      <c r="D1458" s="8"/>
      <c r="E1458" s="8"/>
      <c r="F1458" s="8"/>
      <c r="G1458" s="8"/>
      <c r="H1458" s="8"/>
      <c r="I1458" s="9"/>
      <c r="J1458" s="9"/>
      <c r="K1458" s="18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ht="14.25" customHeight="1">
      <c r="A1459" s="7"/>
      <c r="B1459" s="8"/>
      <c r="C1459" s="8"/>
      <c r="D1459" s="8"/>
      <c r="E1459" s="8"/>
      <c r="F1459" s="8"/>
      <c r="G1459" s="8"/>
      <c r="H1459" s="8"/>
      <c r="I1459" s="9"/>
      <c r="J1459" s="9"/>
      <c r="K1459" s="18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ht="14.25" customHeight="1">
      <c r="A1460" s="7"/>
      <c r="B1460" s="8"/>
      <c r="C1460" s="8"/>
      <c r="D1460" s="8"/>
      <c r="E1460" s="8"/>
      <c r="F1460" s="8"/>
      <c r="G1460" s="8"/>
      <c r="H1460" s="8"/>
      <c r="I1460" s="9"/>
      <c r="J1460" s="9"/>
      <c r="K1460" s="18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ht="14.25" customHeight="1">
      <c r="A1461" s="7"/>
      <c r="B1461" s="8"/>
      <c r="C1461" s="8"/>
      <c r="D1461" s="8"/>
      <c r="E1461" s="8"/>
      <c r="F1461" s="8"/>
      <c r="G1461" s="8"/>
      <c r="H1461" s="8"/>
      <c r="I1461" s="9"/>
      <c r="J1461" s="9"/>
      <c r="K1461" s="18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ht="14.25" customHeight="1">
      <c r="A1462" s="7"/>
      <c r="B1462" s="8"/>
      <c r="C1462" s="8"/>
      <c r="D1462" s="8"/>
      <c r="E1462" s="8"/>
      <c r="F1462" s="8"/>
      <c r="G1462" s="8"/>
      <c r="H1462" s="8"/>
      <c r="I1462" s="9"/>
      <c r="J1462" s="9"/>
      <c r="K1462" s="18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ht="14.25" customHeight="1">
      <c r="A1463" s="7"/>
      <c r="B1463" s="8"/>
      <c r="C1463" s="8"/>
      <c r="D1463" s="8"/>
      <c r="E1463" s="8"/>
      <c r="F1463" s="8"/>
      <c r="G1463" s="8"/>
      <c r="H1463" s="8"/>
      <c r="I1463" s="9"/>
      <c r="J1463" s="9"/>
      <c r="K1463" s="18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ht="14.25" customHeight="1">
      <c r="A1464" s="7"/>
      <c r="B1464" s="8"/>
      <c r="C1464" s="8"/>
      <c r="D1464" s="8"/>
      <c r="E1464" s="8"/>
      <c r="F1464" s="8"/>
      <c r="G1464" s="8"/>
      <c r="H1464" s="8"/>
      <c r="I1464" s="9"/>
      <c r="J1464" s="9"/>
      <c r="K1464" s="18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ht="14.25" customHeight="1">
      <c r="A1465" s="7"/>
      <c r="B1465" s="8"/>
      <c r="C1465" s="8"/>
      <c r="D1465" s="8"/>
      <c r="E1465" s="8"/>
      <c r="F1465" s="8"/>
      <c r="G1465" s="8"/>
      <c r="H1465" s="8"/>
      <c r="I1465" s="9"/>
      <c r="J1465" s="9"/>
      <c r="K1465" s="18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ht="14.25" customHeight="1">
      <c r="A1466" s="7"/>
      <c r="B1466" s="8"/>
      <c r="C1466" s="8"/>
      <c r="D1466" s="8"/>
      <c r="E1466" s="8"/>
      <c r="F1466" s="8"/>
      <c r="G1466" s="8"/>
      <c r="H1466" s="8"/>
      <c r="I1466" s="9"/>
      <c r="J1466" s="9"/>
      <c r="K1466" s="18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ht="14.25" customHeight="1">
      <c r="A1467" s="7"/>
      <c r="B1467" s="8"/>
      <c r="C1467" s="8"/>
      <c r="D1467" s="8"/>
      <c r="E1467" s="8"/>
      <c r="F1467" s="8"/>
      <c r="G1467" s="8"/>
      <c r="H1467" s="8"/>
      <c r="I1467" s="9"/>
      <c r="J1467" s="9"/>
      <c r="K1467" s="18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ht="14.25" customHeight="1">
      <c r="A1468" s="7"/>
      <c r="B1468" s="8"/>
      <c r="C1468" s="8"/>
      <c r="D1468" s="8"/>
      <c r="E1468" s="8"/>
      <c r="F1468" s="8"/>
      <c r="G1468" s="8"/>
      <c r="H1468" s="8"/>
      <c r="I1468" s="9"/>
      <c r="J1468" s="9"/>
      <c r="K1468" s="18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ht="14.25" customHeight="1">
      <c r="A1469" s="7"/>
      <c r="B1469" s="8"/>
      <c r="C1469" s="8"/>
      <c r="D1469" s="8"/>
      <c r="E1469" s="8"/>
      <c r="F1469" s="8"/>
      <c r="G1469" s="8"/>
      <c r="H1469" s="8"/>
      <c r="I1469" s="9"/>
      <c r="J1469" s="9"/>
      <c r="K1469" s="18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ht="14.25" customHeight="1">
      <c r="A1470" s="7"/>
      <c r="B1470" s="8"/>
      <c r="C1470" s="8"/>
      <c r="D1470" s="8"/>
      <c r="E1470" s="8"/>
      <c r="F1470" s="8"/>
      <c r="G1470" s="8"/>
      <c r="H1470" s="8"/>
      <c r="I1470" s="9"/>
      <c r="J1470" s="9"/>
      <c r="K1470" s="18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ht="14.25" customHeight="1">
      <c r="A1471" s="7"/>
      <c r="B1471" s="8"/>
      <c r="C1471" s="8"/>
      <c r="D1471" s="8"/>
      <c r="E1471" s="8"/>
      <c r="F1471" s="8"/>
      <c r="G1471" s="8"/>
      <c r="H1471" s="8"/>
      <c r="I1471" s="9"/>
      <c r="J1471" s="9"/>
      <c r="K1471" s="18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ht="14.25" customHeight="1">
      <c r="A1472" s="7"/>
      <c r="B1472" s="8"/>
      <c r="C1472" s="8"/>
      <c r="D1472" s="8"/>
      <c r="E1472" s="8"/>
      <c r="F1472" s="8"/>
      <c r="G1472" s="8"/>
      <c r="H1472" s="8"/>
      <c r="I1472" s="9"/>
      <c r="J1472" s="9"/>
      <c r="K1472" s="18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ht="14.25" customHeight="1">
      <c r="A1473" s="7"/>
      <c r="B1473" s="8"/>
      <c r="C1473" s="8"/>
      <c r="D1473" s="8"/>
      <c r="E1473" s="8"/>
      <c r="F1473" s="8"/>
      <c r="G1473" s="8"/>
      <c r="H1473" s="8"/>
      <c r="I1473" s="9"/>
      <c r="J1473" s="9"/>
      <c r="K1473" s="18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ht="14.25" customHeight="1">
      <c r="A1474" s="7"/>
      <c r="B1474" s="8"/>
      <c r="C1474" s="8"/>
      <c r="D1474" s="8"/>
      <c r="E1474" s="8"/>
      <c r="F1474" s="8"/>
      <c r="G1474" s="8"/>
      <c r="H1474" s="8"/>
      <c r="I1474" s="9"/>
      <c r="J1474" s="9"/>
      <c r="K1474" s="18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ht="14.25" customHeight="1">
      <c r="A1475" s="7"/>
      <c r="B1475" s="8"/>
      <c r="C1475" s="8"/>
      <c r="D1475" s="8"/>
      <c r="E1475" s="8"/>
      <c r="F1475" s="8"/>
      <c r="G1475" s="8"/>
      <c r="H1475" s="8"/>
      <c r="I1475" s="9"/>
      <c r="J1475" s="9"/>
      <c r="K1475" s="18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ht="14.25" customHeight="1">
      <c r="A1476" s="7"/>
      <c r="B1476" s="8"/>
      <c r="C1476" s="8"/>
      <c r="D1476" s="8"/>
      <c r="E1476" s="8"/>
      <c r="F1476" s="8"/>
      <c r="G1476" s="8"/>
      <c r="H1476" s="8"/>
      <c r="I1476" s="9"/>
      <c r="J1476" s="9"/>
      <c r="K1476" s="18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ht="14.25" customHeight="1">
      <c r="A1477" s="7"/>
      <c r="B1477" s="8"/>
      <c r="C1477" s="8"/>
      <c r="D1477" s="8"/>
      <c r="E1477" s="8"/>
      <c r="F1477" s="8"/>
      <c r="G1477" s="8"/>
      <c r="H1477" s="8"/>
      <c r="I1477" s="9"/>
      <c r="J1477" s="9"/>
      <c r="K1477" s="18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ht="14.25" customHeight="1">
      <c r="A1478" s="7"/>
      <c r="B1478" s="8"/>
      <c r="C1478" s="8"/>
      <c r="D1478" s="8"/>
      <c r="E1478" s="8"/>
      <c r="F1478" s="8"/>
      <c r="G1478" s="8"/>
      <c r="H1478" s="8"/>
      <c r="I1478" s="9"/>
      <c r="J1478" s="9"/>
      <c r="K1478" s="18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ht="14.25" customHeight="1">
      <c r="A1479" s="7"/>
      <c r="B1479" s="8"/>
      <c r="C1479" s="8"/>
      <c r="D1479" s="8"/>
      <c r="E1479" s="8"/>
      <c r="F1479" s="8"/>
      <c r="G1479" s="8"/>
      <c r="H1479" s="8"/>
      <c r="I1479" s="9"/>
      <c r="J1479" s="9"/>
      <c r="K1479" s="18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ht="14.25" customHeight="1">
      <c r="A1480" s="7"/>
      <c r="B1480" s="8"/>
      <c r="C1480" s="8"/>
      <c r="D1480" s="8"/>
      <c r="E1480" s="8"/>
      <c r="F1480" s="8"/>
      <c r="G1480" s="8"/>
      <c r="H1480" s="8"/>
      <c r="I1480" s="9"/>
      <c r="J1480" s="9"/>
      <c r="K1480" s="18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ht="14.25" customHeight="1">
      <c r="A1481" s="7"/>
      <c r="B1481" s="8"/>
      <c r="C1481" s="8"/>
      <c r="D1481" s="8"/>
      <c r="E1481" s="8"/>
      <c r="F1481" s="8"/>
      <c r="G1481" s="8"/>
      <c r="H1481" s="8"/>
      <c r="I1481" s="9"/>
      <c r="J1481" s="9"/>
      <c r="K1481" s="18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ht="14.25" customHeight="1">
      <c r="A1482" s="7"/>
      <c r="B1482" s="8"/>
      <c r="C1482" s="8"/>
      <c r="D1482" s="8"/>
      <c r="E1482" s="8"/>
      <c r="F1482" s="8"/>
      <c r="G1482" s="8"/>
      <c r="H1482" s="8"/>
      <c r="I1482" s="9"/>
      <c r="J1482" s="9"/>
      <c r="K1482" s="18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ht="14.25" customHeight="1">
      <c r="A1483" s="7"/>
      <c r="B1483" s="8"/>
      <c r="C1483" s="8"/>
      <c r="D1483" s="8"/>
      <c r="E1483" s="8"/>
      <c r="F1483" s="8"/>
      <c r="G1483" s="8"/>
      <c r="H1483" s="8"/>
      <c r="I1483" s="9"/>
      <c r="J1483" s="9"/>
      <c r="K1483" s="18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ht="14.25" customHeight="1">
      <c r="A1484" s="7"/>
      <c r="B1484" s="8"/>
      <c r="C1484" s="8"/>
      <c r="D1484" s="8"/>
      <c r="E1484" s="8"/>
      <c r="F1484" s="8"/>
      <c r="G1484" s="8"/>
      <c r="H1484" s="8"/>
      <c r="I1484" s="9"/>
      <c r="J1484" s="9"/>
      <c r="K1484" s="18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ht="14.25" customHeight="1">
      <c r="A1485" s="7"/>
      <c r="B1485" s="8"/>
      <c r="C1485" s="8"/>
      <c r="D1485" s="8"/>
      <c r="E1485" s="8"/>
      <c r="F1485" s="8"/>
      <c r="G1485" s="8"/>
      <c r="H1485" s="8"/>
      <c r="I1485" s="9"/>
      <c r="J1485" s="9"/>
      <c r="K1485" s="18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ht="14.25" customHeight="1">
      <c r="A1486" s="7"/>
      <c r="B1486" s="8"/>
      <c r="C1486" s="8"/>
      <c r="D1486" s="8"/>
      <c r="E1486" s="8"/>
      <c r="F1486" s="8"/>
      <c r="G1486" s="8"/>
      <c r="H1486" s="8"/>
      <c r="I1486" s="9"/>
      <c r="J1486" s="9"/>
      <c r="K1486" s="18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ht="14.25" customHeight="1">
      <c r="A1487" s="7"/>
      <c r="B1487" s="8"/>
      <c r="C1487" s="8"/>
      <c r="D1487" s="8"/>
      <c r="E1487" s="8"/>
      <c r="F1487" s="8"/>
      <c r="G1487" s="8"/>
      <c r="H1487" s="8"/>
      <c r="I1487" s="9"/>
      <c r="J1487" s="9"/>
      <c r="K1487" s="18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ht="14.25" customHeight="1">
      <c r="A1488" s="7"/>
      <c r="B1488" s="8"/>
      <c r="C1488" s="8"/>
      <c r="D1488" s="8"/>
      <c r="E1488" s="8"/>
      <c r="F1488" s="8"/>
      <c r="G1488" s="8"/>
      <c r="H1488" s="8"/>
      <c r="I1488" s="9"/>
      <c r="J1488" s="9"/>
      <c r="K1488" s="18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ht="14.25" customHeight="1">
      <c r="A1489" s="7"/>
      <c r="B1489" s="8"/>
      <c r="C1489" s="8"/>
      <c r="D1489" s="8"/>
      <c r="E1489" s="8"/>
      <c r="F1489" s="8"/>
      <c r="G1489" s="8"/>
      <c r="H1489" s="8"/>
      <c r="I1489" s="9"/>
      <c r="J1489" s="9"/>
      <c r="K1489" s="18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ht="14.25" customHeight="1">
      <c r="A1490" s="7"/>
      <c r="B1490" s="8"/>
      <c r="C1490" s="8"/>
      <c r="D1490" s="8"/>
      <c r="E1490" s="8"/>
      <c r="F1490" s="8"/>
      <c r="G1490" s="8"/>
      <c r="H1490" s="8"/>
      <c r="I1490" s="9"/>
      <c r="J1490" s="9"/>
      <c r="K1490" s="18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ht="14.25" customHeight="1">
      <c r="A1491" s="7"/>
      <c r="B1491" s="8"/>
      <c r="C1491" s="8"/>
      <c r="D1491" s="8"/>
      <c r="E1491" s="8"/>
      <c r="F1491" s="8"/>
      <c r="G1491" s="8"/>
      <c r="H1491" s="8"/>
      <c r="I1491" s="9"/>
      <c r="J1491" s="9"/>
      <c r="K1491" s="18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ht="14.25" customHeight="1">
      <c r="A1492" s="7"/>
      <c r="B1492" s="8"/>
      <c r="C1492" s="8"/>
      <c r="D1492" s="8"/>
      <c r="E1492" s="8"/>
      <c r="F1492" s="8"/>
      <c r="G1492" s="8"/>
      <c r="H1492" s="8"/>
      <c r="I1492" s="9"/>
      <c r="J1492" s="9"/>
      <c r="K1492" s="18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ht="14.25" customHeight="1">
      <c r="A1493" s="7"/>
      <c r="B1493" s="8"/>
      <c r="C1493" s="8"/>
      <c r="D1493" s="8"/>
      <c r="E1493" s="8"/>
      <c r="F1493" s="8"/>
      <c r="G1493" s="8"/>
      <c r="H1493" s="8"/>
      <c r="I1493" s="9"/>
      <c r="J1493" s="9"/>
      <c r="K1493" s="18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ht="14.25" customHeight="1">
      <c r="A1494" s="7"/>
      <c r="B1494" s="8"/>
      <c r="C1494" s="8"/>
      <c r="D1494" s="8"/>
      <c r="E1494" s="8"/>
      <c r="F1494" s="8"/>
      <c r="G1494" s="8"/>
      <c r="H1494" s="8"/>
      <c r="I1494" s="9"/>
      <c r="J1494" s="9"/>
      <c r="K1494" s="18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ht="14.25" customHeight="1">
      <c r="A1495" s="7"/>
      <c r="B1495" s="8"/>
      <c r="C1495" s="8"/>
      <c r="D1495" s="8"/>
      <c r="E1495" s="8"/>
      <c r="F1495" s="8"/>
      <c r="G1495" s="8"/>
      <c r="H1495" s="8"/>
      <c r="I1495" s="9"/>
      <c r="J1495" s="9"/>
      <c r="K1495" s="18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ht="14.25" customHeight="1">
      <c r="A1496" s="7"/>
      <c r="B1496" s="8"/>
      <c r="C1496" s="8"/>
      <c r="D1496" s="8"/>
      <c r="E1496" s="8"/>
      <c r="F1496" s="8"/>
      <c r="G1496" s="8"/>
      <c r="H1496" s="8"/>
      <c r="I1496" s="9"/>
      <c r="J1496" s="9"/>
      <c r="K1496" s="18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ht="14.25" customHeight="1">
      <c r="A1497" s="7"/>
      <c r="B1497" s="8"/>
      <c r="C1497" s="8"/>
      <c r="D1497" s="8"/>
      <c r="E1497" s="8"/>
      <c r="F1497" s="8"/>
      <c r="G1497" s="8"/>
      <c r="H1497" s="8"/>
      <c r="I1497" s="9"/>
      <c r="J1497" s="9"/>
      <c r="K1497" s="18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ht="14.25" customHeight="1">
      <c r="A1498" s="7"/>
      <c r="B1498" s="8"/>
      <c r="C1498" s="8"/>
      <c r="D1498" s="8"/>
      <c r="E1498" s="8"/>
      <c r="F1498" s="8"/>
      <c r="G1498" s="8"/>
      <c r="H1498" s="8"/>
      <c r="I1498" s="9"/>
      <c r="J1498" s="9"/>
      <c r="K1498" s="18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ht="14.25" customHeight="1">
      <c r="A1499" s="7"/>
      <c r="B1499" s="8"/>
      <c r="C1499" s="8"/>
      <c r="D1499" s="8"/>
      <c r="E1499" s="8"/>
      <c r="F1499" s="8"/>
      <c r="G1499" s="8"/>
      <c r="H1499" s="8"/>
      <c r="I1499" s="9"/>
      <c r="J1499" s="9"/>
      <c r="K1499" s="18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ht="14.25" customHeight="1">
      <c r="A1500" s="7"/>
      <c r="B1500" s="8"/>
      <c r="C1500" s="8"/>
      <c r="D1500" s="8"/>
      <c r="E1500" s="8"/>
      <c r="F1500" s="8"/>
      <c r="G1500" s="8"/>
      <c r="H1500" s="8"/>
      <c r="I1500" s="9"/>
      <c r="J1500" s="9"/>
      <c r="K1500" s="18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ht="14.25" customHeight="1">
      <c r="A1501" s="7"/>
      <c r="B1501" s="8"/>
      <c r="C1501" s="8"/>
      <c r="D1501" s="8"/>
      <c r="E1501" s="8"/>
      <c r="F1501" s="8"/>
      <c r="G1501" s="8"/>
      <c r="H1501" s="8"/>
      <c r="I1501" s="9"/>
      <c r="J1501" s="9"/>
      <c r="K1501" s="18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ht="14.25" customHeight="1">
      <c r="A1502" s="7"/>
      <c r="B1502" s="8"/>
      <c r="C1502" s="8"/>
      <c r="D1502" s="8"/>
      <c r="E1502" s="8"/>
      <c r="F1502" s="8"/>
      <c r="G1502" s="8"/>
      <c r="H1502" s="8"/>
      <c r="I1502" s="9"/>
      <c r="J1502" s="9"/>
      <c r="K1502" s="18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ht="14.25" customHeight="1">
      <c r="A1503" s="7"/>
      <c r="B1503" s="8"/>
      <c r="C1503" s="8"/>
      <c r="D1503" s="8"/>
      <c r="E1503" s="8"/>
      <c r="F1503" s="8"/>
      <c r="G1503" s="8"/>
      <c r="H1503" s="8"/>
      <c r="I1503" s="9"/>
      <c r="J1503" s="9"/>
      <c r="K1503" s="18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ht="14.25" customHeight="1">
      <c r="A1504" s="7"/>
      <c r="B1504" s="8"/>
      <c r="C1504" s="8"/>
      <c r="D1504" s="8"/>
      <c r="E1504" s="8"/>
      <c r="F1504" s="8"/>
      <c r="G1504" s="8"/>
      <c r="H1504" s="8"/>
      <c r="I1504" s="9"/>
      <c r="J1504" s="9"/>
      <c r="K1504" s="18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ht="14.25" customHeight="1">
      <c r="A1505" s="7"/>
      <c r="B1505" s="8"/>
      <c r="C1505" s="8"/>
      <c r="D1505" s="8"/>
      <c r="E1505" s="8"/>
      <c r="F1505" s="8"/>
      <c r="G1505" s="8"/>
      <c r="H1505" s="8"/>
      <c r="I1505" s="9"/>
      <c r="J1505" s="9"/>
      <c r="K1505" s="18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ht="14.25" customHeight="1">
      <c r="A1506" s="7"/>
      <c r="B1506" s="8"/>
      <c r="C1506" s="8"/>
      <c r="D1506" s="8"/>
      <c r="E1506" s="8"/>
      <c r="F1506" s="8"/>
      <c r="G1506" s="8"/>
      <c r="H1506" s="8"/>
      <c r="I1506" s="9"/>
      <c r="J1506" s="9"/>
      <c r="K1506" s="18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ht="14.25" customHeight="1">
      <c r="A1507" s="7"/>
      <c r="B1507" s="8"/>
      <c r="C1507" s="8"/>
      <c r="D1507" s="8"/>
      <c r="E1507" s="8"/>
      <c r="F1507" s="8"/>
      <c r="G1507" s="8"/>
      <c r="H1507" s="8"/>
      <c r="I1507" s="9"/>
      <c r="J1507" s="9"/>
      <c r="K1507" s="18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ht="14.25" customHeight="1">
      <c r="A1508" s="7"/>
      <c r="B1508" s="8"/>
      <c r="C1508" s="8"/>
      <c r="D1508" s="8"/>
      <c r="E1508" s="8"/>
      <c r="F1508" s="8"/>
      <c r="G1508" s="8"/>
      <c r="H1508" s="8"/>
      <c r="I1508" s="9"/>
      <c r="J1508" s="9"/>
      <c r="K1508" s="18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ht="14.25" customHeight="1">
      <c r="A1509" s="7"/>
      <c r="B1509" s="8"/>
      <c r="C1509" s="8"/>
      <c r="D1509" s="8"/>
      <c r="E1509" s="8"/>
      <c r="F1509" s="8"/>
      <c r="G1509" s="8"/>
      <c r="H1509" s="8"/>
      <c r="I1509" s="9"/>
      <c r="J1509" s="9"/>
      <c r="K1509" s="18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ht="14.25" customHeight="1">
      <c r="A1510" s="7"/>
      <c r="B1510" s="8"/>
      <c r="C1510" s="8"/>
      <c r="D1510" s="8"/>
      <c r="E1510" s="8"/>
      <c r="F1510" s="8"/>
      <c r="G1510" s="8"/>
      <c r="H1510" s="8"/>
      <c r="I1510" s="9"/>
      <c r="J1510" s="9"/>
      <c r="K1510" s="18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ht="14.25" customHeight="1">
      <c r="A1511" s="7"/>
      <c r="B1511" s="8"/>
      <c r="C1511" s="8"/>
      <c r="D1511" s="8"/>
      <c r="E1511" s="8"/>
      <c r="F1511" s="8"/>
      <c r="G1511" s="8"/>
      <c r="H1511" s="8"/>
      <c r="I1511" s="9"/>
      <c r="J1511" s="9"/>
      <c r="K1511" s="18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ht="14.25" customHeight="1">
      <c r="A1512" s="7"/>
      <c r="B1512" s="8"/>
      <c r="C1512" s="8"/>
      <c r="D1512" s="8"/>
      <c r="E1512" s="8"/>
      <c r="F1512" s="8"/>
      <c r="G1512" s="8"/>
      <c r="H1512" s="8"/>
      <c r="I1512" s="9"/>
      <c r="J1512" s="9"/>
      <c r="K1512" s="18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ht="14.25" customHeight="1">
      <c r="A1513" s="7"/>
      <c r="B1513" s="8"/>
      <c r="C1513" s="8"/>
      <c r="D1513" s="8"/>
      <c r="E1513" s="8"/>
      <c r="F1513" s="8"/>
      <c r="G1513" s="8"/>
      <c r="H1513" s="8"/>
      <c r="I1513" s="9"/>
      <c r="J1513" s="9"/>
      <c r="K1513" s="18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ht="14.25" customHeight="1">
      <c r="A1514" s="7"/>
      <c r="B1514" s="8"/>
      <c r="C1514" s="8"/>
      <c r="D1514" s="8"/>
      <c r="E1514" s="8"/>
      <c r="F1514" s="8"/>
      <c r="G1514" s="8"/>
      <c r="H1514" s="8"/>
      <c r="I1514" s="9"/>
      <c r="J1514" s="9"/>
      <c r="K1514" s="18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ht="14.25" customHeight="1">
      <c r="A1515" s="7"/>
      <c r="B1515" s="8"/>
      <c r="C1515" s="8"/>
      <c r="D1515" s="8"/>
      <c r="E1515" s="8"/>
      <c r="F1515" s="8"/>
      <c r="G1515" s="8"/>
      <c r="H1515" s="8"/>
      <c r="I1515" s="9"/>
      <c r="J1515" s="9"/>
      <c r="K1515" s="18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ht="14.25" customHeight="1">
      <c r="A1516" s="7"/>
      <c r="B1516" s="8"/>
      <c r="C1516" s="8"/>
      <c r="D1516" s="8"/>
      <c r="E1516" s="8"/>
      <c r="F1516" s="8"/>
      <c r="G1516" s="8"/>
      <c r="H1516" s="8"/>
      <c r="I1516" s="9"/>
      <c r="J1516" s="9"/>
      <c r="K1516" s="18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ht="14.25" customHeight="1">
      <c r="A1517" s="7"/>
      <c r="B1517" s="8"/>
      <c r="C1517" s="8"/>
      <c r="D1517" s="8"/>
      <c r="E1517" s="8"/>
      <c r="F1517" s="8"/>
      <c r="G1517" s="8"/>
      <c r="H1517" s="8"/>
      <c r="I1517" s="9"/>
      <c r="J1517" s="9"/>
      <c r="K1517" s="18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ht="14.25" customHeight="1">
      <c r="A1518" s="7"/>
      <c r="B1518" s="8"/>
      <c r="C1518" s="8"/>
      <c r="D1518" s="8"/>
      <c r="E1518" s="8"/>
      <c r="F1518" s="8"/>
      <c r="G1518" s="8"/>
      <c r="H1518" s="8"/>
      <c r="I1518" s="9"/>
      <c r="J1518" s="9"/>
      <c r="K1518" s="18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ht="14.25" customHeight="1">
      <c r="A1519" s="7"/>
      <c r="B1519" s="8"/>
      <c r="C1519" s="8"/>
      <c r="D1519" s="8"/>
      <c r="E1519" s="8"/>
      <c r="F1519" s="8"/>
      <c r="G1519" s="8"/>
      <c r="H1519" s="8"/>
      <c r="I1519" s="9"/>
      <c r="J1519" s="9"/>
      <c r="K1519" s="18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ht="14.25" customHeight="1">
      <c r="A1520" s="7"/>
      <c r="B1520" s="8"/>
      <c r="C1520" s="8"/>
      <c r="D1520" s="8"/>
      <c r="E1520" s="8"/>
      <c r="F1520" s="8"/>
      <c r="G1520" s="8"/>
      <c r="H1520" s="8"/>
      <c r="I1520" s="9"/>
      <c r="J1520" s="9"/>
      <c r="K1520" s="18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ht="14.25" customHeight="1">
      <c r="A1521" s="7"/>
      <c r="B1521" s="8"/>
      <c r="C1521" s="8"/>
      <c r="D1521" s="8"/>
      <c r="E1521" s="8"/>
      <c r="F1521" s="8"/>
      <c r="G1521" s="8"/>
      <c r="H1521" s="8"/>
      <c r="I1521" s="9"/>
      <c r="J1521" s="9"/>
      <c r="K1521" s="18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ht="14.25" customHeight="1">
      <c r="A1522" s="7"/>
      <c r="B1522" s="8"/>
      <c r="C1522" s="8"/>
      <c r="D1522" s="8"/>
      <c r="E1522" s="8"/>
      <c r="F1522" s="8"/>
      <c r="G1522" s="8"/>
      <c r="H1522" s="8"/>
      <c r="I1522" s="9"/>
      <c r="J1522" s="9"/>
      <c r="K1522" s="18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ht="14.25" customHeight="1">
      <c r="A1523" s="7"/>
      <c r="B1523" s="8"/>
      <c r="C1523" s="8"/>
      <c r="D1523" s="8"/>
      <c r="E1523" s="8"/>
      <c r="F1523" s="8"/>
      <c r="G1523" s="8"/>
      <c r="H1523" s="8"/>
      <c r="I1523" s="9"/>
      <c r="J1523" s="9"/>
      <c r="K1523" s="18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ht="14.25" customHeight="1">
      <c r="A1524" s="7"/>
      <c r="B1524" s="8"/>
      <c r="C1524" s="8"/>
      <c r="D1524" s="8"/>
      <c r="E1524" s="8"/>
      <c r="F1524" s="8"/>
      <c r="G1524" s="8"/>
      <c r="H1524" s="8"/>
      <c r="I1524" s="9"/>
      <c r="J1524" s="9"/>
      <c r="K1524" s="18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ht="14.25" customHeight="1">
      <c r="A1525" s="7"/>
      <c r="B1525" s="8"/>
      <c r="C1525" s="8"/>
      <c r="D1525" s="8"/>
      <c r="E1525" s="8"/>
      <c r="F1525" s="8"/>
      <c r="G1525" s="8"/>
      <c r="H1525" s="8"/>
      <c r="I1525" s="9"/>
      <c r="J1525" s="9"/>
      <c r="K1525" s="18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ht="14.25" customHeight="1">
      <c r="A1526" s="7"/>
      <c r="B1526" s="8"/>
      <c r="C1526" s="8"/>
      <c r="D1526" s="8"/>
      <c r="E1526" s="8"/>
      <c r="F1526" s="8"/>
      <c r="G1526" s="8"/>
      <c r="H1526" s="8"/>
      <c r="I1526" s="9"/>
      <c r="J1526" s="9"/>
      <c r="K1526" s="18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ht="14.25" customHeight="1">
      <c r="A1527" s="7"/>
      <c r="B1527" s="8"/>
      <c r="C1527" s="8"/>
      <c r="D1527" s="8"/>
      <c r="E1527" s="8"/>
      <c r="F1527" s="8"/>
      <c r="G1527" s="8"/>
      <c r="H1527" s="8"/>
      <c r="I1527" s="9"/>
      <c r="J1527" s="9"/>
      <c r="K1527" s="18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ht="14.25" customHeight="1">
      <c r="A1528" s="7"/>
      <c r="B1528" s="8"/>
      <c r="C1528" s="8"/>
      <c r="D1528" s="8"/>
      <c r="E1528" s="8"/>
      <c r="F1528" s="8"/>
      <c r="G1528" s="8"/>
      <c r="H1528" s="8"/>
      <c r="I1528" s="9"/>
      <c r="J1528" s="9"/>
      <c r="K1528" s="18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ht="14.25" customHeight="1">
      <c r="A1529" s="7"/>
      <c r="B1529" s="8"/>
      <c r="C1529" s="8"/>
      <c r="D1529" s="8"/>
      <c r="E1529" s="8"/>
      <c r="F1529" s="8"/>
      <c r="G1529" s="8"/>
      <c r="H1529" s="8"/>
      <c r="I1529" s="9"/>
      <c r="J1529" s="9"/>
      <c r="K1529" s="18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ht="14.25" customHeight="1">
      <c r="A1530" s="7"/>
      <c r="B1530" s="8"/>
      <c r="C1530" s="8"/>
      <c r="D1530" s="8"/>
      <c r="E1530" s="8"/>
      <c r="F1530" s="8"/>
      <c r="G1530" s="8"/>
      <c r="H1530" s="8"/>
      <c r="I1530" s="9"/>
      <c r="J1530" s="9"/>
      <c r="K1530" s="18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ht="14.25" customHeight="1">
      <c r="A1531" s="7"/>
      <c r="B1531" s="8"/>
      <c r="C1531" s="8"/>
      <c r="D1531" s="8"/>
      <c r="E1531" s="8"/>
      <c r="F1531" s="8"/>
      <c r="G1531" s="8"/>
      <c r="H1531" s="8"/>
      <c r="I1531" s="9"/>
      <c r="J1531" s="9"/>
      <c r="K1531" s="18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ht="14.25" customHeight="1">
      <c r="A1532" s="7"/>
      <c r="B1532" s="8"/>
      <c r="C1532" s="8"/>
      <c r="D1532" s="8"/>
      <c r="E1532" s="8"/>
      <c r="F1532" s="8"/>
      <c r="G1532" s="8"/>
      <c r="H1532" s="8"/>
      <c r="I1532" s="9"/>
      <c r="J1532" s="9"/>
      <c r="K1532" s="18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ht="14.25" customHeight="1">
      <c r="A1533" s="7"/>
      <c r="B1533" s="8"/>
      <c r="C1533" s="8"/>
      <c r="D1533" s="8"/>
      <c r="E1533" s="8"/>
      <c r="F1533" s="8"/>
      <c r="G1533" s="8"/>
      <c r="H1533" s="8"/>
      <c r="I1533" s="9"/>
      <c r="J1533" s="9"/>
      <c r="K1533" s="18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ht="14.25" customHeight="1">
      <c r="A1534" s="7"/>
      <c r="B1534" s="8"/>
      <c r="C1534" s="8"/>
      <c r="D1534" s="8"/>
      <c r="E1534" s="8"/>
      <c r="F1534" s="8"/>
      <c r="G1534" s="8"/>
      <c r="H1534" s="8"/>
      <c r="I1534" s="9"/>
      <c r="J1534" s="9"/>
      <c r="K1534" s="18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ht="14.25" customHeight="1">
      <c r="A1535" s="7"/>
      <c r="B1535" s="8"/>
      <c r="C1535" s="8"/>
      <c r="D1535" s="8"/>
      <c r="E1535" s="8"/>
      <c r="F1535" s="8"/>
      <c r="G1535" s="8"/>
      <c r="H1535" s="8"/>
      <c r="I1535" s="9"/>
      <c r="J1535" s="9"/>
      <c r="K1535" s="18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ht="14.25" customHeight="1">
      <c r="A1536" s="7"/>
      <c r="B1536" s="8"/>
      <c r="C1536" s="8"/>
      <c r="D1536" s="8"/>
      <c r="E1536" s="8"/>
      <c r="F1536" s="8"/>
      <c r="G1536" s="8"/>
      <c r="H1536" s="8"/>
      <c r="I1536" s="9"/>
      <c r="J1536" s="9"/>
      <c r="K1536" s="18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ht="14.25" customHeight="1">
      <c r="A1537" s="7"/>
      <c r="B1537" s="8"/>
      <c r="C1537" s="8"/>
      <c r="D1537" s="8"/>
      <c r="E1537" s="8"/>
      <c r="F1537" s="8"/>
      <c r="G1537" s="8"/>
      <c r="H1537" s="8"/>
      <c r="I1537" s="9"/>
      <c r="J1537" s="9"/>
      <c r="K1537" s="18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ht="14.25" customHeight="1">
      <c r="A1538" s="7"/>
      <c r="B1538" s="8"/>
      <c r="C1538" s="8"/>
      <c r="D1538" s="8"/>
      <c r="E1538" s="8"/>
      <c r="F1538" s="8"/>
      <c r="G1538" s="8"/>
      <c r="H1538" s="8"/>
      <c r="I1538" s="9"/>
      <c r="J1538" s="9"/>
      <c r="K1538" s="18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ht="14.25" customHeight="1">
      <c r="A1539" s="7"/>
      <c r="B1539" s="8"/>
      <c r="C1539" s="8"/>
      <c r="D1539" s="8"/>
      <c r="E1539" s="8"/>
      <c r="F1539" s="8"/>
      <c r="G1539" s="8"/>
      <c r="H1539" s="8"/>
      <c r="I1539" s="9"/>
      <c r="J1539" s="9"/>
      <c r="K1539" s="18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ht="14.25" customHeight="1">
      <c r="A1540" s="7"/>
      <c r="B1540" s="8"/>
      <c r="C1540" s="8"/>
      <c r="D1540" s="8"/>
      <c r="E1540" s="8"/>
      <c r="F1540" s="8"/>
      <c r="G1540" s="8"/>
      <c r="H1540" s="8"/>
      <c r="I1540" s="9"/>
      <c r="J1540" s="9"/>
      <c r="K1540" s="18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ht="14.25" customHeight="1">
      <c r="A1541" s="7"/>
      <c r="B1541" s="8"/>
      <c r="C1541" s="8"/>
      <c r="D1541" s="8"/>
      <c r="E1541" s="8"/>
      <c r="F1541" s="8"/>
      <c r="G1541" s="8"/>
      <c r="H1541" s="8"/>
      <c r="I1541" s="9"/>
      <c r="J1541" s="9"/>
      <c r="K1541" s="18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ht="14.25" customHeight="1">
      <c r="A1542" s="7"/>
      <c r="B1542" s="8"/>
      <c r="C1542" s="8"/>
      <c r="D1542" s="8"/>
      <c r="E1542" s="8"/>
      <c r="F1542" s="8"/>
      <c r="G1542" s="8"/>
      <c r="H1542" s="8"/>
      <c r="I1542" s="9"/>
      <c r="J1542" s="9"/>
      <c r="K1542" s="18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ht="14.25" customHeight="1">
      <c r="A1543" s="7"/>
      <c r="B1543" s="8"/>
      <c r="C1543" s="8"/>
      <c r="D1543" s="8"/>
      <c r="E1543" s="8"/>
      <c r="F1543" s="8"/>
      <c r="G1543" s="8"/>
      <c r="H1543" s="8"/>
      <c r="I1543" s="9"/>
      <c r="J1543" s="9"/>
      <c r="K1543" s="18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ht="14.25" customHeight="1">
      <c r="A1544" s="7"/>
      <c r="B1544" s="8"/>
      <c r="C1544" s="8"/>
      <c r="D1544" s="8"/>
      <c r="E1544" s="8"/>
      <c r="F1544" s="8"/>
      <c r="G1544" s="8"/>
      <c r="H1544" s="8"/>
      <c r="I1544" s="9"/>
      <c r="J1544" s="9"/>
      <c r="K1544" s="18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ht="14.25" customHeight="1">
      <c r="A1545" s="7"/>
      <c r="B1545" s="8"/>
      <c r="C1545" s="8"/>
      <c r="D1545" s="8"/>
      <c r="E1545" s="8"/>
      <c r="F1545" s="8"/>
      <c r="G1545" s="8"/>
      <c r="H1545" s="8"/>
      <c r="I1545" s="9"/>
      <c r="J1545" s="9"/>
      <c r="K1545" s="18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ht="14.25" customHeight="1">
      <c r="A1546" s="7"/>
      <c r="B1546" s="8"/>
      <c r="C1546" s="8"/>
      <c r="D1546" s="8"/>
      <c r="E1546" s="8"/>
      <c r="F1546" s="8"/>
      <c r="G1546" s="8"/>
      <c r="H1546" s="8"/>
      <c r="I1546" s="9"/>
      <c r="J1546" s="9"/>
      <c r="K1546" s="18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ht="14.25" customHeight="1">
      <c r="A1547" s="7"/>
      <c r="B1547" s="8"/>
      <c r="C1547" s="8"/>
      <c r="D1547" s="8"/>
      <c r="E1547" s="8"/>
      <c r="F1547" s="8"/>
      <c r="G1547" s="8"/>
      <c r="H1547" s="8"/>
      <c r="I1547" s="9"/>
      <c r="J1547" s="9"/>
      <c r="K1547" s="18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ht="14.25" customHeight="1">
      <c r="A1548" s="7"/>
      <c r="B1548" s="8"/>
      <c r="C1548" s="8"/>
      <c r="D1548" s="8"/>
      <c r="E1548" s="8"/>
      <c r="F1548" s="8"/>
      <c r="G1548" s="8"/>
      <c r="H1548" s="8"/>
      <c r="I1548" s="9"/>
      <c r="J1548" s="9"/>
      <c r="K1548" s="18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ht="14.25" customHeight="1">
      <c r="A1549" s="7"/>
      <c r="B1549" s="8"/>
      <c r="C1549" s="8"/>
      <c r="D1549" s="8"/>
      <c r="E1549" s="8"/>
      <c r="F1549" s="8"/>
      <c r="G1549" s="8"/>
      <c r="H1549" s="8"/>
      <c r="I1549" s="9"/>
      <c r="J1549" s="9"/>
      <c r="K1549" s="18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ht="14.25" customHeight="1">
      <c r="A1550" s="7"/>
      <c r="B1550" s="8"/>
      <c r="C1550" s="8"/>
      <c r="D1550" s="8"/>
      <c r="E1550" s="8"/>
      <c r="F1550" s="8"/>
      <c r="G1550" s="8"/>
      <c r="H1550" s="8"/>
      <c r="I1550" s="9"/>
      <c r="J1550" s="9"/>
      <c r="K1550" s="18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ht="14.25" customHeight="1">
      <c r="A1551" s="7"/>
      <c r="B1551" s="8"/>
      <c r="C1551" s="8"/>
      <c r="D1551" s="8"/>
      <c r="E1551" s="8"/>
      <c r="F1551" s="8"/>
      <c r="G1551" s="8"/>
      <c r="H1551" s="8"/>
      <c r="I1551" s="9"/>
      <c r="J1551" s="9"/>
      <c r="K1551" s="18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ht="14.25" customHeight="1">
      <c r="A1552" s="7"/>
      <c r="B1552" s="8"/>
      <c r="C1552" s="8"/>
      <c r="D1552" s="8"/>
      <c r="E1552" s="8"/>
      <c r="F1552" s="8"/>
      <c r="G1552" s="8"/>
      <c r="H1552" s="8"/>
      <c r="I1552" s="9"/>
      <c r="J1552" s="9"/>
      <c r="K1552" s="18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ht="14.25" customHeight="1">
      <c r="A1553" s="7"/>
      <c r="B1553" s="8"/>
      <c r="C1553" s="8"/>
      <c r="D1553" s="8"/>
      <c r="E1553" s="8"/>
      <c r="F1553" s="8"/>
      <c r="G1553" s="8"/>
      <c r="H1553" s="8"/>
      <c r="I1553" s="9"/>
      <c r="J1553" s="9"/>
      <c r="K1553" s="18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ht="14.25" customHeight="1">
      <c r="A1554" s="7"/>
      <c r="B1554" s="8"/>
      <c r="C1554" s="8"/>
      <c r="D1554" s="8"/>
      <c r="E1554" s="8"/>
      <c r="F1554" s="8"/>
      <c r="G1554" s="8"/>
      <c r="H1554" s="8"/>
      <c r="I1554" s="9"/>
      <c r="J1554" s="9"/>
      <c r="K1554" s="18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ht="14.25" customHeight="1">
      <c r="A1555" s="7"/>
      <c r="B1555" s="8"/>
      <c r="C1555" s="8"/>
      <c r="D1555" s="8"/>
      <c r="E1555" s="8"/>
      <c r="F1555" s="8"/>
      <c r="G1555" s="8"/>
      <c r="H1555" s="8"/>
      <c r="I1555" s="9"/>
      <c r="J1555" s="9"/>
      <c r="K1555" s="18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ht="14.25" customHeight="1">
      <c r="A1556" s="7"/>
      <c r="B1556" s="8"/>
      <c r="C1556" s="8"/>
      <c r="D1556" s="8"/>
      <c r="E1556" s="8"/>
      <c r="F1556" s="8"/>
      <c r="G1556" s="8"/>
      <c r="H1556" s="8"/>
      <c r="I1556" s="9"/>
      <c r="J1556" s="9"/>
      <c r="K1556" s="18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ht="14.25" customHeight="1">
      <c r="A1557" s="7"/>
      <c r="B1557" s="8"/>
      <c r="C1557" s="8"/>
      <c r="D1557" s="8"/>
      <c r="E1557" s="8"/>
      <c r="F1557" s="8"/>
      <c r="G1557" s="8"/>
      <c r="H1557" s="8"/>
      <c r="I1557" s="9"/>
      <c r="J1557" s="9"/>
      <c r="K1557" s="18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ht="14.25" customHeight="1">
      <c r="A1558" s="7"/>
      <c r="B1558" s="8"/>
      <c r="C1558" s="8"/>
      <c r="D1558" s="8"/>
      <c r="E1558" s="8"/>
      <c r="F1558" s="8"/>
      <c r="G1558" s="8"/>
      <c r="H1558" s="8"/>
      <c r="I1558" s="9"/>
      <c r="J1558" s="9"/>
      <c r="K1558" s="18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ht="14.25" customHeight="1">
      <c r="A1559" s="7"/>
      <c r="B1559" s="8"/>
      <c r="C1559" s="8"/>
      <c r="D1559" s="8"/>
      <c r="E1559" s="8"/>
      <c r="F1559" s="8"/>
      <c r="G1559" s="8"/>
      <c r="H1559" s="8"/>
      <c r="I1559" s="9"/>
      <c r="J1559" s="9"/>
      <c r="K1559" s="18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ht="14.25" customHeight="1">
      <c r="A1560" s="7"/>
      <c r="B1560" s="8"/>
      <c r="C1560" s="8"/>
      <c r="D1560" s="8"/>
      <c r="E1560" s="8"/>
      <c r="F1560" s="8"/>
      <c r="G1560" s="8"/>
      <c r="H1560" s="8"/>
      <c r="I1560" s="9"/>
      <c r="J1560" s="9"/>
      <c r="K1560" s="18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ht="14.25" customHeight="1">
      <c r="A1561" s="7"/>
      <c r="B1561" s="8"/>
      <c r="C1561" s="8"/>
      <c r="D1561" s="8"/>
      <c r="E1561" s="8"/>
      <c r="F1561" s="8"/>
      <c r="G1561" s="8"/>
      <c r="H1561" s="8"/>
      <c r="I1561" s="9"/>
      <c r="J1561" s="9"/>
      <c r="K1561" s="18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ht="14.25" customHeight="1">
      <c r="A1562" s="7"/>
      <c r="B1562" s="8"/>
      <c r="C1562" s="8"/>
      <c r="D1562" s="8"/>
      <c r="E1562" s="8"/>
      <c r="F1562" s="8"/>
      <c r="G1562" s="8"/>
      <c r="H1562" s="8"/>
      <c r="I1562" s="9"/>
      <c r="J1562" s="9"/>
      <c r="K1562" s="18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ht="14.25" customHeight="1">
      <c r="A1563" s="7"/>
      <c r="B1563" s="8"/>
      <c r="C1563" s="8"/>
      <c r="D1563" s="8"/>
      <c r="E1563" s="8"/>
      <c r="F1563" s="8"/>
      <c r="G1563" s="8"/>
      <c r="H1563" s="8"/>
      <c r="I1563" s="9"/>
      <c r="J1563" s="9"/>
      <c r="K1563" s="18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ht="14.25" customHeight="1">
      <c r="A1564" s="7"/>
      <c r="B1564" s="8"/>
      <c r="C1564" s="8"/>
      <c r="D1564" s="8"/>
      <c r="E1564" s="8"/>
      <c r="F1564" s="8"/>
      <c r="G1564" s="8"/>
      <c r="H1564" s="8"/>
      <c r="I1564" s="9"/>
      <c r="J1564" s="9"/>
      <c r="K1564" s="18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ht="14.25" customHeight="1">
      <c r="A1565" s="7"/>
      <c r="B1565" s="8"/>
      <c r="C1565" s="8"/>
      <c r="D1565" s="8"/>
      <c r="E1565" s="8"/>
      <c r="F1565" s="8"/>
      <c r="G1565" s="8"/>
      <c r="H1565" s="8"/>
      <c r="I1565" s="9"/>
      <c r="J1565" s="9"/>
      <c r="K1565" s="18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ht="14.25" customHeight="1">
      <c r="A1566" s="7"/>
      <c r="B1566" s="8"/>
      <c r="C1566" s="8"/>
      <c r="D1566" s="8"/>
      <c r="E1566" s="8"/>
      <c r="F1566" s="8"/>
      <c r="G1566" s="8"/>
      <c r="H1566" s="8"/>
      <c r="I1566" s="9"/>
      <c r="J1566" s="9"/>
      <c r="K1566" s="18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ht="14.25" customHeight="1">
      <c r="A1567" s="7"/>
      <c r="B1567" s="8"/>
      <c r="C1567" s="8"/>
      <c r="D1567" s="8"/>
      <c r="E1567" s="8"/>
      <c r="F1567" s="8"/>
      <c r="G1567" s="8"/>
      <c r="H1567" s="8"/>
      <c r="I1567" s="9"/>
      <c r="J1567" s="9"/>
      <c r="K1567" s="18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ht="14.25" customHeight="1">
      <c r="A1568" s="7"/>
      <c r="B1568" s="8"/>
      <c r="C1568" s="8"/>
      <c r="D1568" s="8"/>
      <c r="E1568" s="8"/>
      <c r="F1568" s="8"/>
      <c r="G1568" s="8"/>
      <c r="H1568" s="8"/>
      <c r="I1568" s="9"/>
      <c r="J1568" s="9"/>
      <c r="K1568" s="18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ht="14.25" customHeight="1">
      <c r="A1569" s="7"/>
      <c r="B1569" s="8"/>
      <c r="C1569" s="8"/>
      <c r="D1569" s="8"/>
      <c r="E1569" s="8"/>
      <c r="F1569" s="8"/>
      <c r="G1569" s="8"/>
      <c r="H1569" s="8"/>
      <c r="I1569" s="9"/>
      <c r="J1569" s="9"/>
      <c r="K1569" s="18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ht="14.25" customHeight="1">
      <c r="A1570" s="7"/>
      <c r="B1570" s="8"/>
      <c r="C1570" s="8"/>
      <c r="D1570" s="8"/>
      <c r="E1570" s="8"/>
      <c r="F1570" s="8"/>
      <c r="G1570" s="8"/>
      <c r="H1570" s="8"/>
      <c r="I1570" s="9"/>
      <c r="J1570" s="9"/>
      <c r="K1570" s="18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ht="14.25" customHeight="1">
      <c r="A1571" s="7"/>
      <c r="B1571" s="8"/>
      <c r="C1571" s="8"/>
      <c r="D1571" s="8"/>
      <c r="E1571" s="8"/>
      <c r="F1571" s="8"/>
      <c r="G1571" s="8"/>
      <c r="H1571" s="8"/>
      <c r="I1571" s="9"/>
      <c r="J1571" s="9"/>
      <c r="K1571" s="18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ht="14.25" customHeight="1">
      <c r="A1572" s="7"/>
      <c r="B1572" s="8"/>
      <c r="C1572" s="8"/>
      <c r="D1572" s="8"/>
      <c r="E1572" s="8"/>
      <c r="F1572" s="8"/>
      <c r="G1572" s="8"/>
      <c r="H1572" s="8"/>
      <c r="I1572" s="9"/>
      <c r="J1572" s="9"/>
      <c r="K1572" s="18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ht="14.25" customHeight="1">
      <c r="A1573" s="7"/>
      <c r="B1573" s="8"/>
      <c r="C1573" s="8"/>
      <c r="D1573" s="8"/>
      <c r="E1573" s="8"/>
      <c r="F1573" s="8"/>
      <c r="G1573" s="8"/>
      <c r="H1573" s="8"/>
      <c r="I1573" s="9"/>
      <c r="J1573" s="9"/>
      <c r="K1573" s="18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ht="14.25" customHeight="1">
      <c r="A1574" s="7"/>
      <c r="B1574" s="8"/>
      <c r="C1574" s="8"/>
      <c r="D1574" s="8"/>
      <c r="E1574" s="8"/>
      <c r="F1574" s="8"/>
      <c r="G1574" s="8"/>
      <c r="H1574" s="8"/>
      <c r="I1574" s="9"/>
      <c r="J1574" s="9"/>
      <c r="K1574" s="18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ht="14.25" customHeight="1">
      <c r="A1575" s="7"/>
      <c r="B1575" s="8"/>
      <c r="C1575" s="8"/>
      <c r="D1575" s="8"/>
      <c r="E1575" s="8"/>
      <c r="F1575" s="8"/>
      <c r="G1575" s="8"/>
      <c r="H1575" s="8"/>
      <c r="I1575" s="9"/>
      <c r="J1575" s="9"/>
      <c r="K1575" s="18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ht="14.25" customHeight="1">
      <c r="A1576" s="7"/>
      <c r="B1576" s="8"/>
      <c r="C1576" s="8"/>
      <c r="D1576" s="8"/>
      <c r="E1576" s="8"/>
      <c r="F1576" s="8"/>
      <c r="G1576" s="8"/>
      <c r="H1576" s="8"/>
      <c r="I1576" s="9"/>
      <c r="J1576" s="9"/>
      <c r="K1576" s="18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ht="14.25" customHeight="1">
      <c r="A1577" s="7"/>
      <c r="B1577" s="8"/>
      <c r="C1577" s="8"/>
      <c r="D1577" s="8"/>
      <c r="E1577" s="8"/>
      <c r="F1577" s="8"/>
      <c r="G1577" s="8"/>
      <c r="H1577" s="8"/>
      <c r="I1577" s="9"/>
      <c r="J1577" s="9"/>
      <c r="K1577" s="18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ht="14.25" customHeight="1">
      <c r="A1578" s="7"/>
      <c r="B1578" s="8"/>
      <c r="C1578" s="8"/>
      <c r="D1578" s="8"/>
      <c r="E1578" s="8"/>
      <c r="F1578" s="8"/>
      <c r="G1578" s="8"/>
      <c r="H1578" s="8"/>
      <c r="I1578" s="9"/>
      <c r="J1578" s="9"/>
      <c r="K1578" s="18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ht="14.25" customHeight="1">
      <c r="A1579" s="7"/>
      <c r="B1579" s="8"/>
      <c r="C1579" s="8"/>
      <c r="D1579" s="8"/>
      <c r="E1579" s="8"/>
      <c r="F1579" s="8"/>
      <c r="G1579" s="8"/>
      <c r="H1579" s="8"/>
      <c r="I1579" s="9"/>
      <c r="J1579" s="9"/>
      <c r="K1579" s="18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ht="14.25" customHeight="1">
      <c r="A1580" s="7"/>
      <c r="B1580" s="8"/>
      <c r="C1580" s="8"/>
      <c r="D1580" s="8"/>
      <c r="E1580" s="8"/>
      <c r="F1580" s="8"/>
      <c r="G1580" s="8"/>
      <c r="H1580" s="8"/>
      <c r="I1580" s="9"/>
      <c r="J1580" s="9"/>
      <c r="K1580" s="18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ht="14.25" customHeight="1">
      <c r="A1581" s="7"/>
      <c r="B1581" s="8"/>
      <c r="C1581" s="8"/>
      <c r="D1581" s="8"/>
      <c r="E1581" s="8"/>
      <c r="F1581" s="8"/>
      <c r="G1581" s="8"/>
      <c r="H1581" s="8"/>
      <c r="I1581" s="9"/>
      <c r="J1581" s="9"/>
      <c r="K1581" s="18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ht="14.25" customHeight="1">
      <c r="A1582" s="7"/>
      <c r="B1582" s="8"/>
      <c r="C1582" s="8"/>
      <c r="D1582" s="8"/>
      <c r="E1582" s="8"/>
      <c r="F1582" s="8"/>
      <c r="G1582" s="8"/>
      <c r="H1582" s="8"/>
      <c r="I1582" s="9"/>
      <c r="J1582" s="9"/>
      <c r="K1582" s="18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ht="14.25" customHeight="1">
      <c r="A1583" s="7"/>
      <c r="B1583" s="8"/>
      <c r="C1583" s="8"/>
      <c r="D1583" s="8"/>
      <c r="E1583" s="8"/>
      <c r="F1583" s="8"/>
      <c r="G1583" s="8"/>
      <c r="H1583" s="8"/>
      <c r="I1583" s="9"/>
      <c r="J1583" s="9"/>
      <c r="K1583" s="18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ht="14.25" customHeight="1">
      <c r="A1584" s="7"/>
      <c r="B1584" s="8"/>
      <c r="C1584" s="8"/>
      <c r="D1584" s="8"/>
      <c r="E1584" s="8"/>
      <c r="F1584" s="8"/>
      <c r="G1584" s="8"/>
      <c r="H1584" s="8"/>
      <c r="I1584" s="9"/>
      <c r="J1584" s="9"/>
      <c r="K1584" s="18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ht="14.25" customHeight="1">
      <c r="A1585" s="7"/>
      <c r="B1585" s="8"/>
      <c r="C1585" s="8"/>
      <c r="D1585" s="8"/>
      <c r="E1585" s="8"/>
      <c r="F1585" s="8"/>
      <c r="G1585" s="8"/>
      <c r="H1585" s="8"/>
      <c r="I1585" s="9"/>
      <c r="J1585" s="9"/>
      <c r="K1585" s="18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ht="14.25" customHeight="1">
      <c r="A1586" s="7"/>
      <c r="B1586" s="8"/>
      <c r="C1586" s="8"/>
      <c r="D1586" s="8"/>
      <c r="E1586" s="8"/>
      <c r="F1586" s="8"/>
      <c r="G1586" s="8"/>
      <c r="H1586" s="8"/>
      <c r="I1586" s="9"/>
      <c r="J1586" s="9"/>
      <c r="K1586" s="18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ht="14.25" customHeight="1">
      <c r="A1587" s="7"/>
      <c r="B1587" s="8"/>
      <c r="C1587" s="8"/>
      <c r="D1587" s="8"/>
      <c r="E1587" s="8"/>
      <c r="F1587" s="8"/>
      <c r="G1587" s="8"/>
      <c r="H1587" s="8"/>
      <c r="I1587" s="9"/>
      <c r="J1587" s="9"/>
      <c r="K1587" s="18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ht="14.25" customHeight="1">
      <c r="A1588" s="7"/>
      <c r="B1588" s="8"/>
      <c r="C1588" s="8"/>
      <c r="D1588" s="8"/>
      <c r="E1588" s="8"/>
      <c r="F1588" s="8"/>
      <c r="G1588" s="8"/>
      <c r="H1588" s="8"/>
      <c r="I1588" s="9"/>
      <c r="J1588" s="9"/>
      <c r="K1588" s="18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ht="14.25" customHeight="1">
      <c r="A1589" s="7"/>
      <c r="B1589" s="8"/>
      <c r="C1589" s="8"/>
      <c r="D1589" s="8"/>
      <c r="E1589" s="8"/>
      <c r="F1589" s="8"/>
      <c r="G1589" s="8"/>
      <c r="H1589" s="8"/>
      <c r="I1589" s="9"/>
      <c r="J1589" s="9"/>
      <c r="K1589" s="18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ht="14.25" customHeight="1">
      <c r="A1590" s="7"/>
      <c r="B1590" s="8"/>
      <c r="C1590" s="8"/>
      <c r="D1590" s="8"/>
      <c r="E1590" s="8"/>
      <c r="F1590" s="8"/>
      <c r="G1590" s="8"/>
      <c r="H1590" s="8"/>
      <c r="I1590" s="9"/>
      <c r="J1590" s="9"/>
      <c r="K1590" s="18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ht="14.25" customHeight="1">
      <c r="A1591" s="7"/>
      <c r="B1591" s="8"/>
      <c r="C1591" s="8"/>
      <c r="D1591" s="8"/>
      <c r="E1591" s="8"/>
      <c r="F1591" s="8"/>
      <c r="G1591" s="8"/>
      <c r="H1591" s="8"/>
      <c r="I1591" s="9"/>
      <c r="J1591" s="9"/>
      <c r="K1591" s="18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ht="14.25" customHeight="1">
      <c r="A1592" s="7"/>
      <c r="B1592" s="8"/>
      <c r="C1592" s="8"/>
      <c r="D1592" s="8"/>
      <c r="E1592" s="8"/>
      <c r="F1592" s="8"/>
      <c r="G1592" s="8"/>
      <c r="H1592" s="8"/>
      <c r="I1592" s="9"/>
      <c r="J1592" s="9"/>
      <c r="K1592" s="18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ht="14.25" customHeight="1">
      <c r="A1593" s="7"/>
      <c r="B1593" s="8"/>
      <c r="C1593" s="8"/>
      <c r="D1593" s="8"/>
      <c r="E1593" s="8"/>
      <c r="F1593" s="8"/>
      <c r="G1593" s="8"/>
      <c r="H1593" s="8"/>
      <c r="I1593" s="9"/>
      <c r="J1593" s="9"/>
      <c r="K1593" s="18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ht="14.25" customHeight="1">
      <c r="A1594" s="7"/>
      <c r="B1594" s="8"/>
      <c r="C1594" s="8"/>
      <c r="D1594" s="8"/>
      <c r="E1594" s="8"/>
      <c r="F1594" s="8"/>
      <c r="G1594" s="8"/>
      <c r="H1594" s="8"/>
      <c r="I1594" s="9"/>
      <c r="J1594" s="9"/>
      <c r="K1594" s="18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ht="14.25" customHeight="1">
      <c r="A1595" s="7"/>
      <c r="B1595" s="8"/>
      <c r="C1595" s="8"/>
      <c r="D1595" s="8"/>
      <c r="E1595" s="8"/>
      <c r="F1595" s="8"/>
      <c r="G1595" s="8"/>
      <c r="H1595" s="8"/>
      <c r="I1595" s="9"/>
      <c r="J1595" s="9"/>
      <c r="K1595" s="18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ht="14.25" customHeight="1">
      <c r="A1596" s="7"/>
      <c r="B1596" s="8"/>
      <c r="C1596" s="8"/>
      <c r="D1596" s="8"/>
      <c r="E1596" s="8"/>
      <c r="F1596" s="8"/>
      <c r="G1596" s="8"/>
      <c r="H1596" s="8"/>
      <c r="I1596" s="9"/>
      <c r="J1596" s="9"/>
      <c r="K1596" s="18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ht="14.25" customHeight="1">
      <c r="A1597" s="7"/>
      <c r="B1597" s="8"/>
      <c r="C1597" s="8"/>
      <c r="D1597" s="8"/>
      <c r="E1597" s="8"/>
      <c r="F1597" s="8"/>
      <c r="G1597" s="8"/>
      <c r="H1597" s="8"/>
      <c r="I1597" s="9"/>
      <c r="J1597" s="9"/>
      <c r="K1597" s="18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ht="14.25" customHeight="1">
      <c r="A1598" s="7"/>
      <c r="B1598" s="8"/>
      <c r="C1598" s="8"/>
      <c r="D1598" s="8"/>
      <c r="E1598" s="8"/>
      <c r="F1598" s="8"/>
      <c r="G1598" s="8"/>
      <c r="H1598" s="8"/>
      <c r="I1598" s="9"/>
      <c r="J1598" s="9"/>
      <c r="K1598" s="18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ht="14.25" customHeight="1">
      <c r="A1599" s="7"/>
      <c r="B1599" s="8"/>
      <c r="C1599" s="8"/>
      <c r="D1599" s="8"/>
      <c r="E1599" s="8"/>
      <c r="F1599" s="8"/>
      <c r="G1599" s="8"/>
      <c r="H1599" s="8"/>
      <c r="I1599" s="9"/>
      <c r="J1599" s="9"/>
      <c r="K1599" s="18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ht="14.25" customHeight="1">
      <c r="A1600" s="7"/>
      <c r="B1600" s="8"/>
      <c r="C1600" s="8"/>
      <c r="D1600" s="8"/>
      <c r="E1600" s="8"/>
      <c r="F1600" s="8"/>
      <c r="G1600" s="8"/>
      <c r="H1600" s="8"/>
      <c r="I1600" s="9"/>
      <c r="J1600" s="9"/>
      <c r="K1600" s="18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ht="14.25" customHeight="1">
      <c r="A1601" s="7"/>
      <c r="B1601" s="8"/>
      <c r="C1601" s="8"/>
      <c r="D1601" s="8"/>
      <c r="E1601" s="8"/>
      <c r="F1601" s="8"/>
      <c r="G1601" s="8"/>
      <c r="H1601" s="8"/>
      <c r="I1601" s="9"/>
      <c r="J1601" s="9"/>
      <c r="K1601" s="18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ht="14.25" customHeight="1">
      <c r="A1602" s="7"/>
      <c r="B1602" s="8"/>
      <c r="C1602" s="8"/>
      <c r="D1602" s="8"/>
      <c r="E1602" s="8"/>
      <c r="F1602" s="8"/>
      <c r="G1602" s="8"/>
      <c r="H1602" s="8"/>
      <c r="I1602" s="9"/>
      <c r="J1602" s="9"/>
      <c r="K1602" s="18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ht="14.25" customHeight="1">
      <c r="A1603" s="7"/>
      <c r="B1603" s="8"/>
      <c r="C1603" s="8"/>
      <c r="D1603" s="8"/>
      <c r="E1603" s="8"/>
      <c r="F1603" s="8"/>
      <c r="G1603" s="8"/>
      <c r="H1603" s="8"/>
      <c r="I1603" s="9"/>
      <c r="J1603" s="9"/>
      <c r="K1603" s="18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ht="14.25" customHeight="1">
      <c r="A1604" s="7"/>
      <c r="B1604" s="8"/>
      <c r="C1604" s="8"/>
      <c r="D1604" s="8"/>
      <c r="E1604" s="8"/>
      <c r="F1604" s="8"/>
      <c r="G1604" s="8"/>
      <c r="H1604" s="8"/>
      <c r="I1604" s="9"/>
      <c r="J1604" s="9"/>
      <c r="K1604" s="18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ht="14.25" customHeight="1">
      <c r="A1605" s="7"/>
      <c r="B1605" s="8"/>
      <c r="C1605" s="8"/>
      <c r="D1605" s="8"/>
      <c r="E1605" s="8"/>
      <c r="F1605" s="8"/>
      <c r="G1605" s="8"/>
      <c r="H1605" s="8"/>
      <c r="I1605" s="9"/>
      <c r="J1605" s="9"/>
      <c r="K1605" s="18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ht="14.25" customHeight="1">
      <c r="A1606" s="7"/>
      <c r="B1606" s="8"/>
      <c r="C1606" s="8"/>
      <c r="D1606" s="8"/>
      <c r="E1606" s="8"/>
      <c r="F1606" s="8"/>
      <c r="G1606" s="8"/>
      <c r="H1606" s="8"/>
      <c r="I1606" s="9"/>
      <c r="J1606" s="9"/>
      <c r="K1606" s="18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ht="14.25" customHeight="1">
      <c r="A1607" s="7"/>
      <c r="B1607" s="8"/>
      <c r="C1607" s="8"/>
      <c r="D1607" s="8"/>
      <c r="E1607" s="8"/>
      <c r="F1607" s="8"/>
      <c r="G1607" s="8"/>
      <c r="H1607" s="8"/>
      <c r="I1607" s="9"/>
      <c r="J1607" s="9"/>
      <c r="K1607" s="18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ht="14.25" customHeight="1">
      <c r="A1608" s="7"/>
      <c r="B1608" s="8"/>
      <c r="C1608" s="8"/>
      <c r="D1608" s="8"/>
      <c r="E1608" s="8"/>
      <c r="F1608" s="8"/>
      <c r="G1608" s="8"/>
      <c r="H1608" s="8"/>
      <c r="I1608" s="9"/>
      <c r="J1608" s="9"/>
      <c r="K1608" s="18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ht="14.25" customHeight="1">
      <c r="A1609" s="7"/>
      <c r="B1609" s="8"/>
      <c r="C1609" s="8"/>
      <c r="D1609" s="8"/>
      <c r="E1609" s="8"/>
      <c r="F1609" s="8"/>
      <c r="G1609" s="8"/>
      <c r="H1609" s="8"/>
      <c r="I1609" s="9"/>
      <c r="J1609" s="9"/>
      <c r="K1609" s="18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ht="14.25" customHeight="1">
      <c r="A1610" s="7"/>
      <c r="B1610" s="8"/>
      <c r="C1610" s="8"/>
      <c r="D1610" s="8"/>
      <c r="E1610" s="8"/>
      <c r="F1610" s="8"/>
      <c r="G1610" s="8"/>
      <c r="H1610" s="8"/>
      <c r="I1610" s="9"/>
      <c r="J1610" s="9"/>
      <c r="K1610" s="18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ht="14.25" customHeight="1">
      <c r="A1611" s="7"/>
      <c r="B1611" s="8"/>
      <c r="C1611" s="8"/>
      <c r="D1611" s="8"/>
      <c r="E1611" s="8"/>
      <c r="F1611" s="8"/>
      <c r="G1611" s="8"/>
      <c r="H1611" s="8"/>
      <c r="I1611" s="9"/>
      <c r="J1611" s="9"/>
      <c r="K1611" s="18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ht="14.25" customHeight="1">
      <c r="A1612" s="7"/>
      <c r="B1612" s="8"/>
      <c r="C1612" s="8"/>
      <c r="D1612" s="8"/>
      <c r="E1612" s="8"/>
      <c r="F1612" s="8"/>
      <c r="G1612" s="8"/>
      <c r="H1612" s="8"/>
      <c r="I1612" s="9"/>
      <c r="J1612" s="9"/>
      <c r="K1612" s="18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ht="14.25" customHeight="1">
      <c r="A1613" s="7"/>
      <c r="B1613" s="8"/>
      <c r="C1613" s="8"/>
      <c r="D1613" s="8"/>
      <c r="E1613" s="8"/>
      <c r="F1613" s="8"/>
      <c r="G1613" s="8"/>
      <c r="H1613" s="8"/>
      <c r="I1613" s="9"/>
      <c r="J1613" s="9"/>
      <c r="K1613" s="18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ht="14.25" customHeight="1">
      <c r="A1614" s="7"/>
      <c r="B1614" s="8"/>
      <c r="C1614" s="8"/>
      <c r="D1614" s="8"/>
      <c r="E1614" s="8"/>
      <c r="F1614" s="8"/>
      <c r="G1614" s="8"/>
      <c r="H1614" s="8"/>
      <c r="I1614" s="9"/>
      <c r="J1614" s="9"/>
      <c r="K1614" s="18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ht="14.25" customHeight="1">
      <c r="A1615" s="7"/>
      <c r="B1615" s="8"/>
      <c r="C1615" s="8"/>
      <c r="D1615" s="8"/>
      <c r="E1615" s="8"/>
      <c r="F1615" s="8"/>
      <c r="G1615" s="8"/>
      <c r="H1615" s="8"/>
      <c r="I1615" s="9"/>
      <c r="J1615" s="9"/>
      <c r="K1615" s="18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ht="14.25" customHeight="1">
      <c r="A1616" s="7"/>
      <c r="B1616" s="8"/>
      <c r="C1616" s="8"/>
      <c r="D1616" s="8"/>
      <c r="E1616" s="8"/>
      <c r="F1616" s="8"/>
      <c r="G1616" s="8"/>
      <c r="H1616" s="8"/>
      <c r="I1616" s="9"/>
      <c r="J1616" s="9"/>
      <c r="K1616" s="18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ht="14.25" customHeight="1">
      <c r="A1617" s="7"/>
      <c r="B1617" s="8"/>
      <c r="C1617" s="8"/>
      <c r="D1617" s="8"/>
      <c r="E1617" s="8"/>
      <c r="F1617" s="8"/>
      <c r="G1617" s="8"/>
      <c r="H1617" s="8"/>
      <c r="I1617" s="9"/>
      <c r="J1617" s="9"/>
      <c r="K1617" s="18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ht="14.25" customHeight="1">
      <c r="A1618" s="7"/>
      <c r="B1618" s="8"/>
      <c r="C1618" s="8"/>
      <c r="D1618" s="8"/>
      <c r="E1618" s="8"/>
      <c r="F1618" s="8"/>
      <c r="G1618" s="8"/>
      <c r="H1618" s="8"/>
      <c r="I1618" s="9"/>
      <c r="J1618" s="9"/>
      <c r="K1618" s="18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ht="14.25" customHeight="1">
      <c r="A1619" s="7"/>
      <c r="B1619" s="8"/>
      <c r="C1619" s="8"/>
      <c r="D1619" s="8"/>
      <c r="E1619" s="8"/>
      <c r="F1619" s="8"/>
      <c r="G1619" s="8"/>
      <c r="H1619" s="8"/>
      <c r="I1619" s="9"/>
      <c r="J1619" s="9"/>
      <c r="K1619" s="18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ht="14.25" customHeight="1">
      <c r="A1620" s="7"/>
      <c r="B1620" s="8"/>
      <c r="C1620" s="8"/>
      <c r="D1620" s="8"/>
      <c r="E1620" s="8"/>
      <c r="F1620" s="8"/>
      <c r="G1620" s="8"/>
      <c r="H1620" s="8"/>
      <c r="I1620" s="9"/>
      <c r="J1620" s="9"/>
      <c r="K1620" s="18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ht="14.25" customHeight="1">
      <c r="A1621" s="7"/>
      <c r="B1621" s="8"/>
      <c r="C1621" s="8"/>
      <c r="D1621" s="8"/>
      <c r="E1621" s="8"/>
      <c r="F1621" s="8"/>
      <c r="G1621" s="8"/>
      <c r="H1621" s="8"/>
      <c r="I1621" s="9"/>
      <c r="J1621" s="9"/>
      <c r="K1621" s="18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ht="14.25" customHeight="1">
      <c r="A1622" s="7"/>
      <c r="B1622" s="8"/>
      <c r="C1622" s="8"/>
      <c r="D1622" s="8"/>
      <c r="E1622" s="8"/>
      <c r="F1622" s="8"/>
      <c r="G1622" s="8"/>
      <c r="H1622" s="8"/>
      <c r="I1622" s="9"/>
      <c r="J1622" s="9"/>
      <c r="K1622" s="18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ht="14.25" customHeight="1">
      <c r="A1623" s="7"/>
      <c r="B1623" s="8"/>
      <c r="C1623" s="8"/>
      <c r="D1623" s="8"/>
      <c r="E1623" s="8"/>
      <c r="F1623" s="8"/>
      <c r="G1623" s="8"/>
      <c r="H1623" s="8"/>
      <c r="I1623" s="9"/>
      <c r="J1623" s="9"/>
      <c r="K1623" s="18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ht="14.25" customHeight="1">
      <c r="A1624" s="7"/>
      <c r="B1624" s="8"/>
      <c r="C1624" s="8"/>
      <c r="D1624" s="8"/>
      <c r="E1624" s="8"/>
      <c r="F1624" s="8"/>
      <c r="G1624" s="8"/>
      <c r="H1624" s="8"/>
      <c r="I1624" s="9"/>
      <c r="J1624" s="9"/>
      <c r="K1624" s="18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ht="14.25" customHeight="1">
      <c r="A1625" s="7"/>
      <c r="B1625" s="8"/>
      <c r="C1625" s="8"/>
      <c r="D1625" s="8"/>
      <c r="E1625" s="8"/>
      <c r="F1625" s="8"/>
      <c r="G1625" s="8"/>
      <c r="H1625" s="8"/>
      <c r="I1625" s="9"/>
      <c r="J1625" s="9"/>
      <c r="K1625" s="18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ht="14.25" customHeight="1">
      <c r="A1626" s="7"/>
      <c r="B1626" s="8"/>
      <c r="C1626" s="8"/>
      <c r="D1626" s="8"/>
      <c r="E1626" s="8"/>
      <c r="F1626" s="8"/>
      <c r="G1626" s="8"/>
      <c r="H1626" s="8"/>
      <c r="I1626" s="9"/>
      <c r="J1626" s="9"/>
      <c r="K1626" s="18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ht="14.25" customHeight="1">
      <c r="A1627" s="7"/>
      <c r="B1627" s="8"/>
      <c r="C1627" s="8"/>
      <c r="D1627" s="8"/>
      <c r="E1627" s="8"/>
      <c r="F1627" s="8"/>
      <c r="G1627" s="8"/>
      <c r="H1627" s="8"/>
      <c r="I1627" s="9"/>
      <c r="J1627" s="9"/>
      <c r="K1627" s="18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ht="14.25" customHeight="1">
      <c r="A1628" s="7"/>
      <c r="B1628" s="8"/>
      <c r="C1628" s="8"/>
      <c r="D1628" s="8"/>
      <c r="E1628" s="8"/>
      <c r="F1628" s="8"/>
      <c r="G1628" s="8"/>
      <c r="H1628" s="8"/>
      <c r="I1628" s="9"/>
      <c r="J1628" s="9"/>
      <c r="K1628" s="18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ht="14.25" customHeight="1">
      <c r="A1629" s="7"/>
      <c r="B1629" s="8"/>
      <c r="C1629" s="8"/>
      <c r="D1629" s="8"/>
      <c r="E1629" s="8"/>
      <c r="F1629" s="8"/>
      <c r="G1629" s="8"/>
      <c r="H1629" s="8"/>
      <c r="I1629" s="9"/>
      <c r="J1629" s="9"/>
      <c r="K1629" s="18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ht="14.25" customHeight="1">
      <c r="A1630" s="7"/>
      <c r="B1630" s="8"/>
      <c r="C1630" s="8"/>
      <c r="D1630" s="8"/>
      <c r="E1630" s="8"/>
      <c r="F1630" s="8"/>
      <c r="G1630" s="8"/>
      <c r="H1630" s="8"/>
      <c r="I1630" s="9"/>
      <c r="J1630" s="9"/>
      <c r="K1630" s="18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ht="14.25" customHeight="1">
      <c r="A1631" s="7"/>
      <c r="B1631" s="8"/>
      <c r="C1631" s="8"/>
      <c r="D1631" s="8"/>
      <c r="E1631" s="8"/>
      <c r="F1631" s="8"/>
      <c r="G1631" s="8"/>
      <c r="H1631" s="8"/>
      <c r="I1631" s="9"/>
      <c r="J1631" s="9"/>
      <c r="K1631" s="18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ht="14.25" customHeight="1">
      <c r="A1632" s="7"/>
      <c r="B1632" s="8"/>
      <c r="C1632" s="8"/>
      <c r="D1632" s="8"/>
      <c r="E1632" s="8"/>
      <c r="F1632" s="8"/>
      <c r="G1632" s="8"/>
      <c r="H1632" s="8"/>
      <c r="I1632" s="9"/>
      <c r="J1632" s="9"/>
      <c r="K1632" s="18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ht="14.25" customHeight="1">
      <c r="A1633" s="7"/>
      <c r="B1633" s="8"/>
      <c r="C1633" s="8"/>
      <c r="D1633" s="8"/>
      <c r="E1633" s="8"/>
      <c r="F1633" s="8"/>
      <c r="G1633" s="8"/>
      <c r="H1633" s="8"/>
      <c r="I1633" s="9"/>
      <c r="J1633" s="9"/>
      <c r="K1633" s="18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ht="14.25" customHeight="1">
      <c r="A1634" s="7"/>
      <c r="B1634" s="8"/>
      <c r="C1634" s="8"/>
      <c r="D1634" s="8"/>
      <c r="E1634" s="8"/>
      <c r="F1634" s="8"/>
      <c r="G1634" s="8"/>
      <c r="H1634" s="8"/>
      <c r="I1634" s="9"/>
      <c r="J1634" s="9"/>
      <c r="K1634" s="18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ht="14.25" customHeight="1">
      <c r="A1635" s="7"/>
      <c r="B1635" s="8"/>
      <c r="C1635" s="8"/>
      <c r="D1635" s="8"/>
      <c r="E1635" s="8"/>
      <c r="F1635" s="8"/>
      <c r="G1635" s="8"/>
      <c r="H1635" s="8"/>
      <c r="I1635" s="9"/>
      <c r="J1635" s="9"/>
      <c r="K1635" s="18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ht="14.25" customHeight="1">
      <c r="A1636" s="7"/>
      <c r="B1636" s="8"/>
      <c r="C1636" s="8"/>
      <c r="D1636" s="8"/>
      <c r="E1636" s="8"/>
      <c r="F1636" s="8"/>
      <c r="G1636" s="8"/>
      <c r="H1636" s="8"/>
      <c r="I1636" s="9"/>
      <c r="J1636" s="9"/>
      <c r="K1636" s="18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ht="14.25" customHeight="1">
      <c r="A1637" s="7"/>
      <c r="B1637" s="8"/>
      <c r="C1637" s="8"/>
      <c r="D1637" s="8"/>
      <c r="E1637" s="8"/>
      <c r="F1637" s="8"/>
      <c r="G1637" s="8"/>
      <c r="H1637" s="8"/>
      <c r="I1637" s="9"/>
      <c r="J1637" s="9"/>
      <c r="K1637" s="18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ht="14.25" customHeight="1">
      <c r="A1638" s="7"/>
      <c r="B1638" s="8"/>
      <c r="C1638" s="8"/>
      <c r="D1638" s="8"/>
      <c r="E1638" s="8"/>
      <c r="F1638" s="8"/>
      <c r="G1638" s="8"/>
      <c r="H1638" s="8"/>
      <c r="I1638" s="9"/>
      <c r="J1638" s="9"/>
      <c r="K1638" s="18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ht="14.25" customHeight="1">
      <c r="A1639" s="7"/>
      <c r="B1639" s="8"/>
      <c r="C1639" s="8"/>
      <c r="D1639" s="8"/>
      <c r="E1639" s="8"/>
      <c r="F1639" s="8"/>
      <c r="G1639" s="8"/>
      <c r="H1639" s="8"/>
      <c r="I1639" s="9"/>
      <c r="J1639" s="9"/>
      <c r="K1639" s="18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ht="14.25" customHeight="1">
      <c r="A1640" s="7"/>
      <c r="B1640" s="8"/>
      <c r="C1640" s="8"/>
      <c r="D1640" s="8"/>
      <c r="E1640" s="8"/>
      <c r="F1640" s="8"/>
      <c r="G1640" s="8"/>
      <c r="H1640" s="8"/>
      <c r="I1640" s="9"/>
      <c r="J1640" s="9"/>
      <c r="K1640" s="18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ht="14.25" customHeight="1">
      <c r="A1641" s="7"/>
      <c r="B1641" s="8"/>
      <c r="C1641" s="8"/>
      <c r="D1641" s="8"/>
      <c r="E1641" s="8"/>
      <c r="F1641" s="8"/>
      <c r="G1641" s="8"/>
      <c r="H1641" s="8"/>
      <c r="I1641" s="9"/>
      <c r="J1641" s="9"/>
      <c r="K1641" s="18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ht="14.25" customHeight="1">
      <c r="A1642" s="7"/>
      <c r="B1642" s="8"/>
      <c r="C1642" s="8"/>
      <c r="D1642" s="8"/>
      <c r="E1642" s="8"/>
      <c r="F1642" s="8"/>
      <c r="G1642" s="8"/>
      <c r="H1642" s="8"/>
      <c r="I1642" s="9"/>
      <c r="J1642" s="9"/>
      <c r="K1642" s="18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ht="14.25" customHeight="1">
      <c r="A1643" s="7"/>
      <c r="B1643" s="8"/>
      <c r="C1643" s="8"/>
      <c r="D1643" s="8"/>
      <c r="E1643" s="8"/>
      <c r="F1643" s="8"/>
      <c r="G1643" s="8"/>
      <c r="H1643" s="8"/>
      <c r="I1643" s="9"/>
      <c r="J1643" s="9"/>
      <c r="K1643" s="18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ht="14.25" customHeight="1">
      <c r="A1644" s="7"/>
      <c r="B1644" s="8"/>
      <c r="C1644" s="8"/>
      <c r="D1644" s="8"/>
      <c r="E1644" s="8"/>
      <c r="F1644" s="8"/>
      <c r="G1644" s="8"/>
      <c r="H1644" s="8"/>
      <c r="I1644" s="9"/>
      <c r="J1644" s="9"/>
      <c r="K1644" s="18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ht="14.25" customHeight="1">
      <c r="A1645" s="7"/>
      <c r="B1645" s="8"/>
      <c r="C1645" s="8"/>
      <c r="D1645" s="8"/>
      <c r="E1645" s="8"/>
      <c r="F1645" s="8"/>
      <c r="G1645" s="8"/>
      <c r="H1645" s="8"/>
      <c r="I1645" s="9"/>
      <c r="J1645" s="9"/>
      <c r="K1645" s="18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ht="14.25" customHeight="1">
      <c r="A1646" s="7"/>
      <c r="B1646" s="8"/>
      <c r="C1646" s="8"/>
      <c r="D1646" s="8"/>
      <c r="E1646" s="8"/>
      <c r="F1646" s="8"/>
      <c r="G1646" s="8"/>
      <c r="H1646" s="8"/>
      <c r="I1646" s="9"/>
      <c r="J1646" s="9"/>
      <c r="K1646" s="18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ht="14.25" customHeight="1">
      <c r="A1647" s="7"/>
      <c r="B1647" s="8"/>
      <c r="C1647" s="8"/>
      <c r="D1647" s="8"/>
      <c r="E1647" s="8"/>
      <c r="F1647" s="8"/>
      <c r="G1647" s="8"/>
      <c r="H1647" s="8"/>
      <c r="I1647" s="9"/>
      <c r="J1647" s="9"/>
      <c r="K1647" s="18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ht="14.25" customHeight="1">
      <c r="A1648" s="7"/>
      <c r="B1648" s="8"/>
      <c r="C1648" s="8"/>
      <c r="D1648" s="8"/>
      <c r="E1648" s="8"/>
      <c r="F1648" s="8"/>
      <c r="G1648" s="8"/>
      <c r="H1648" s="8"/>
      <c r="I1648" s="9"/>
      <c r="J1648" s="9"/>
      <c r="K1648" s="18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ht="14.25" customHeight="1">
      <c r="A1649" s="7"/>
      <c r="B1649" s="8"/>
      <c r="C1649" s="8"/>
      <c r="D1649" s="8"/>
      <c r="E1649" s="8"/>
      <c r="F1649" s="8"/>
      <c r="G1649" s="8"/>
      <c r="H1649" s="8"/>
      <c r="I1649" s="9"/>
      <c r="J1649" s="9"/>
      <c r="K1649" s="18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ht="14.25" customHeight="1">
      <c r="A1650" s="7"/>
      <c r="B1650" s="8"/>
      <c r="C1650" s="8"/>
      <c r="D1650" s="8"/>
      <c r="E1650" s="8"/>
      <c r="F1650" s="8"/>
      <c r="G1650" s="8"/>
      <c r="H1650" s="8"/>
      <c r="I1650" s="9"/>
      <c r="J1650" s="9"/>
      <c r="K1650" s="18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ht="14.25" customHeight="1">
      <c r="A1651" s="7"/>
      <c r="B1651" s="8"/>
      <c r="C1651" s="8"/>
      <c r="D1651" s="8"/>
      <c r="E1651" s="8"/>
      <c r="F1651" s="8"/>
      <c r="G1651" s="8"/>
      <c r="H1651" s="8"/>
      <c r="I1651" s="9"/>
      <c r="J1651" s="9"/>
      <c r="K1651" s="18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ht="14.25" customHeight="1">
      <c r="A1652" s="7"/>
      <c r="B1652" s="8"/>
      <c r="C1652" s="8"/>
      <c r="D1652" s="8"/>
      <c r="E1652" s="8"/>
      <c r="F1652" s="8"/>
      <c r="G1652" s="8"/>
      <c r="H1652" s="8"/>
      <c r="I1652" s="9"/>
      <c r="J1652" s="9"/>
      <c r="K1652" s="18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ht="14.25" customHeight="1">
      <c r="A1653" s="7"/>
      <c r="B1653" s="8"/>
      <c r="C1653" s="8"/>
      <c r="D1653" s="8"/>
      <c r="E1653" s="8"/>
      <c r="F1653" s="8"/>
      <c r="G1653" s="8"/>
      <c r="H1653" s="8"/>
      <c r="I1653" s="9"/>
      <c r="J1653" s="9"/>
      <c r="K1653" s="18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ht="14.25" customHeight="1">
      <c r="A1654" s="7"/>
      <c r="B1654" s="8"/>
      <c r="C1654" s="8"/>
      <c r="D1654" s="8"/>
      <c r="E1654" s="8"/>
      <c r="F1654" s="8"/>
      <c r="G1654" s="8"/>
      <c r="H1654" s="8"/>
      <c r="I1654" s="9"/>
      <c r="J1654" s="9"/>
      <c r="K1654" s="18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ht="14.25" customHeight="1">
      <c r="A1655" s="7"/>
      <c r="B1655" s="8"/>
      <c r="C1655" s="8"/>
      <c r="D1655" s="8"/>
      <c r="E1655" s="8"/>
      <c r="F1655" s="8"/>
      <c r="G1655" s="8"/>
      <c r="H1655" s="8"/>
      <c r="I1655" s="9"/>
      <c r="J1655" s="9"/>
      <c r="K1655" s="18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ht="14.25" customHeight="1">
      <c r="A1656" s="7"/>
      <c r="B1656" s="8"/>
      <c r="C1656" s="8"/>
      <c r="D1656" s="8"/>
      <c r="E1656" s="8"/>
      <c r="F1656" s="8"/>
      <c r="G1656" s="8"/>
      <c r="H1656" s="8"/>
      <c r="I1656" s="9"/>
      <c r="J1656" s="9"/>
      <c r="K1656" s="18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ht="14.25" customHeight="1">
      <c r="A1657" s="7"/>
      <c r="B1657" s="8"/>
      <c r="C1657" s="8"/>
      <c r="D1657" s="8"/>
      <c r="E1657" s="8"/>
      <c r="F1657" s="8"/>
      <c r="G1657" s="8"/>
      <c r="H1657" s="8"/>
      <c r="I1657" s="9"/>
      <c r="J1657" s="9"/>
      <c r="K1657" s="18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ht="14.25" customHeight="1">
      <c r="A1658" s="7"/>
      <c r="B1658" s="8"/>
      <c r="C1658" s="8"/>
      <c r="D1658" s="8"/>
      <c r="E1658" s="8"/>
      <c r="F1658" s="8"/>
      <c r="G1658" s="8"/>
      <c r="H1658" s="8"/>
      <c r="I1658" s="9"/>
      <c r="J1658" s="9"/>
      <c r="K1658" s="18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ht="14.25" customHeight="1">
      <c r="A1659" s="7"/>
      <c r="B1659" s="8"/>
      <c r="C1659" s="8"/>
      <c r="D1659" s="8"/>
      <c r="E1659" s="8"/>
      <c r="F1659" s="8"/>
      <c r="G1659" s="8"/>
      <c r="H1659" s="8"/>
      <c r="I1659" s="9"/>
      <c r="J1659" s="9"/>
      <c r="K1659" s="18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ht="14.25" customHeight="1">
      <c r="A1660" s="7"/>
      <c r="B1660" s="8"/>
      <c r="C1660" s="8"/>
      <c r="D1660" s="8"/>
      <c r="E1660" s="8"/>
      <c r="F1660" s="8"/>
      <c r="G1660" s="8"/>
      <c r="H1660" s="8"/>
      <c r="I1660" s="9"/>
      <c r="J1660" s="9"/>
      <c r="K1660" s="18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ht="14.25" customHeight="1">
      <c r="A1661" s="7"/>
      <c r="B1661" s="8"/>
      <c r="C1661" s="8"/>
      <c r="D1661" s="8"/>
      <c r="E1661" s="8"/>
      <c r="F1661" s="8"/>
      <c r="G1661" s="8"/>
      <c r="H1661" s="8"/>
      <c r="I1661" s="9"/>
      <c r="J1661" s="9"/>
      <c r="K1661" s="18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ht="14.25" customHeight="1">
      <c r="A1662" s="7"/>
      <c r="B1662" s="8"/>
      <c r="C1662" s="8"/>
      <c r="D1662" s="8"/>
      <c r="E1662" s="8"/>
      <c r="F1662" s="8"/>
      <c r="G1662" s="8"/>
      <c r="H1662" s="8"/>
      <c r="I1662" s="9"/>
      <c r="J1662" s="9"/>
      <c r="K1662" s="18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ht="14.25" customHeight="1">
      <c r="A1663" s="7"/>
      <c r="B1663" s="8"/>
      <c r="C1663" s="8"/>
      <c r="D1663" s="8"/>
      <c r="E1663" s="8"/>
      <c r="F1663" s="8"/>
      <c r="G1663" s="8"/>
      <c r="H1663" s="8"/>
      <c r="I1663" s="9"/>
      <c r="J1663" s="9"/>
      <c r="K1663" s="18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ht="14.25" customHeight="1">
      <c r="A1664" s="7"/>
      <c r="B1664" s="8"/>
      <c r="C1664" s="8"/>
      <c r="D1664" s="8"/>
      <c r="E1664" s="8"/>
      <c r="F1664" s="8"/>
      <c r="G1664" s="8"/>
      <c r="H1664" s="8"/>
      <c r="I1664" s="9"/>
      <c r="J1664" s="9"/>
      <c r="K1664" s="18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ht="14.25" customHeight="1">
      <c r="A1665" s="7"/>
      <c r="B1665" s="8"/>
      <c r="C1665" s="8"/>
      <c r="D1665" s="8"/>
      <c r="E1665" s="8"/>
      <c r="F1665" s="8"/>
      <c r="G1665" s="8"/>
      <c r="H1665" s="8"/>
      <c r="I1665" s="9"/>
      <c r="J1665" s="9"/>
      <c r="K1665" s="18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ht="14.25" customHeight="1">
      <c r="A1666" s="7"/>
      <c r="B1666" s="8"/>
      <c r="C1666" s="8"/>
      <c r="D1666" s="8"/>
      <c r="E1666" s="8"/>
      <c r="F1666" s="8"/>
      <c r="G1666" s="8"/>
      <c r="H1666" s="8"/>
      <c r="I1666" s="9"/>
      <c r="J1666" s="9"/>
      <c r="K1666" s="18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ht="14.25" customHeight="1">
      <c r="A1667" s="7"/>
      <c r="B1667" s="8"/>
      <c r="C1667" s="8"/>
      <c r="D1667" s="8"/>
      <c r="E1667" s="8"/>
      <c r="F1667" s="8"/>
      <c r="G1667" s="8"/>
      <c r="H1667" s="8"/>
      <c r="I1667" s="9"/>
      <c r="J1667" s="9"/>
      <c r="K1667" s="18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ht="14.25" customHeight="1">
      <c r="A1668" s="7"/>
      <c r="B1668" s="8"/>
      <c r="C1668" s="8"/>
      <c r="D1668" s="8"/>
      <c r="E1668" s="8"/>
      <c r="F1668" s="8"/>
      <c r="G1668" s="8"/>
      <c r="H1668" s="8"/>
      <c r="I1668" s="9"/>
      <c r="J1668" s="9"/>
      <c r="K1668" s="18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ht="14.25" customHeight="1">
      <c r="A1669" s="7"/>
      <c r="B1669" s="8"/>
      <c r="C1669" s="8"/>
      <c r="D1669" s="8"/>
      <c r="E1669" s="8"/>
      <c r="F1669" s="8"/>
      <c r="G1669" s="8"/>
      <c r="H1669" s="8"/>
      <c r="I1669" s="9"/>
      <c r="J1669" s="9"/>
      <c r="K1669" s="18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ht="14.25" customHeight="1">
      <c r="A1670" s="7"/>
      <c r="B1670" s="8"/>
      <c r="C1670" s="8"/>
      <c r="D1670" s="8"/>
      <c r="E1670" s="8"/>
      <c r="F1670" s="8"/>
      <c r="G1670" s="8"/>
      <c r="H1670" s="8"/>
      <c r="I1670" s="9"/>
      <c r="J1670" s="9"/>
      <c r="K1670" s="18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ht="14.25" customHeight="1">
      <c r="A1671" s="7"/>
      <c r="B1671" s="8"/>
      <c r="C1671" s="8"/>
      <c r="D1671" s="8"/>
      <c r="E1671" s="8"/>
      <c r="F1671" s="8"/>
      <c r="G1671" s="8"/>
      <c r="H1671" s="8"/>
      <c r="I1671" s="9"/>
      <c r="J1671" s="9"/>
      <c r="K1671" s="18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ht="14.25" customHeight="1">
      <c r="A1672" s="7"/>
      <c r="B1672" s="8"/>
      <c r="C1672" s="8"/>
      <c r="D1672" s="8"/>
      <c r="E1672" s="8"/>
      <c r="F1672" s="8"/>
      <c r="G1672" s="8"/>
      <c r="H1672" s="8"/>
      <c r="I1672" s="9"/>
      <c r="J1672" s="9"/>
      <c r="K1672" s="18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ht="14.25" customHeight="1">
      <c r="A1673" s="7"/>
      <c r="B1673" s="8"/>
      <c r="C1673" s="8"/>
      <c r="D1673" s="8"/>
      <c r="E1673" s="8"/>
      <c r="F1673" s="8"/>
      <c r="G1673" s="8"/>
      <c r="H1673" s="8"/>
      <c r="I1673" s="9"/>
      <c r="J1673" s="9"/>
      <c r="K1673" s="18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ht="14.25" customHeight="1">
      <c r="A1674" s="7"/>
      <c r="B1674" s="8"/>
      <c r="C1674" s="8"/>
      <c r="D1674" s="8"/>
      <c r="E1674" s="8"/>
      <c r="F1674" s="8"/>
      <c r="G1674" s="8"/>
      <c r="H1674" s="8"/>
      <c r="I1674" s="9"/>
      <c r="J1674" s="9"/>
      <c r="K1674" s="18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ht="14.25" customHeight="1">
      <c r="A1675" s="7"/>
      <c r="B1675" s="8"/>
      <c r="C1675" s="8"/>
      <c r="D1675" s="8"/>
      <c r="E1675" s="8"/>
      <c r="F1675" s="8"/>
      <c r="G1675" s="8"/>
      <c r="H1675" s="8"/>
      <c r="I1675" s="9"/>
      <c r="J1675" s="9"/>
      <c r="K1675" s="18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ht="14.25" customHeight="1">
      <c r="A1676" s="7"/>
      <c r="B1676" s="8"/>
      <c r="C1676" s="8"/>
      <c r="D1676" s="8"/>
      <c r="E1676" s="8"/>
      <c r="F1676" s="8"/>
      <c r="G1676" s="8"/>
      <c r="H1676" s="8"/>
      <c r="I1676" s="9"/>
      <c r="J1676" s="9"/>
      <c r="K1676" s="18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ht="14.25" customHeight="1">
      <c r="A1677" s="7"/>
      <c r="B1677" s="8"/>
      <c r="C1677" s="8"/>
      <c r="D1677" s="8"/>
      <c r="E1677" s="8"/>
      <c r="F1677" s="8"/>
      <c r="G1677" s="8"/>
      <c r="H1677" s="8"/>
      <c r="I1677" s="9"/>
      <c r="J1677" s="9"/>
      <c r="K1677" s="18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ht="14.25" customHeight="1">
      <c r="A1678" s="7"/>
      <c r="B1678" s="8"/>
      <c r="C1678" s="8"/>
      <c r="D1678" s="8"/>
      <c r="E1678" s="8"/>
      <c r="F1678" s="8"/>
      <c r="G1678" s="8"/>
      <c r="H1678" s="8"/>
      <c r="I1678" s="9"/>
      <c r="J1678" s="9"/>
      <c r="K1678" s="18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ht="14.25" customHeight="1">
      <c r="A1679" s="7"/>
      <c r="B1679" s="8"/>
      <c r="C1679" s="8"/>
      <c r="D1679" s="8"/>
      <c r="E1679" s="8"/>
      <c r="F1679" s="8"/>
      <c r="G1679" s="8"/>
      <c r="H1679" s="8"/>
      <c r="I1679" s="9"/>
      <c r="J1679" s="9"/>
      <c r="K1679" s="18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ht="14.25" customHeight="1">
      <c r="A1680" s="7"/>
      <c r="B1680" s="8"/>
      <c r="C1680" s="8"/>
      <c r="D1680" s="8"/>
      <c r="E1680" s="8"/>
      <c r="F1680" s="8"/>
      <c r="G1680" s="8"/>
      <c r="H1680" s="8"/>
      <c r="I1680" s="9"/>
      <c r="J1680" s="9"/>
      <c r="K1680" s="18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ht="14.25" customHeight="1">
      <c r="A1681" s="7"/>
      <c r="B1681" s="8"/>
      <c r="C1681" s="8"/>
      <c r="D1681" s="8"/>
      <c r="E1681" s="8"/>
      <c r="F1681" s="8"/>
      <c r="G1681" s="8"/>
      <c r="H1681" s="8"/>
      <c r="I1681" s="9"/>
      <c r="J1681" s="9"/>
      <c r="K1681" s="18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ht="14.25" customHeight="1">
      <c r="A1682" s="7"/>
      <c r="B1682" s="8"/>
      <c r="C1682" s="8"/>
      <c r="D1682" s="8"/>
      <c r="E1682" s="8"/>
      <c r="F1682" s="8"/>
      <c r="G1682" s="8"/>
      <c r="H1682" s="8"/>
      <c r="I1682" s="9"/>
      <c r="J1682" s="9"/>
      <c r="K1682" s="18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ht="14.25" customHeight="1">
      <c r="A1683" s="7"/>
      <c r="B1683" s="8"/>
      <c r="C1683" s="8"/>
      <c r="D1683" s="8"/>
      <c r="E1683" s="8"/>
      <c r="F1683" s="8"/>
      <c r="G1683" s="8"/>
      <c r="H1683" s="8"/>
      <c r="I1683" s="9"/>
      <c r="J1683" s="9"/>
      <c r="K1683" s="18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ht="14.25" customHeight="1">
      <c r="A1684" s="7"/>
      <c r="B1684" s="8"/>
      <c r="C1684" s="8"/>
      <c r="D1684" s="8"/>
      <c r="E1684" s="8"/>
      <c r="F1684" s="8"/>
      <c r="G1684" s="8"/>
      <c r="H1684" s="8"/>
      <c r="I1684" s="9"/>
      <c r="J1684" s="9"/>
      <c r="K1684" s="18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ht="14.25" customHeight="1">
      <c r="A1685" s="7"/>
      <c r="B1685" s="8"/>
      <c r="C1685" s="8"/>
      <c r="D1685" s="8"/>
      <c r="E1685" s="8"/>
      <c r="F1685" s="8"/>
      <c r="G1685" s="8"/>
      <c r="H1685" s="8"/>
      <c r="I1685" s="9"/>
      <c r="J1685" s="9"/>
      <c r="K1685" s="18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ht="14.25" customHeight="1">
      <c r="A1686" s="7"/>
      <c r="B1686" s="8"/>
      <c r="C1686" s="8"/>
      <c r="D1686" s="8"/>
      <c r="E1686" s="8"/>
      <c r="F1686" s="8"/>
      <c r="G1686" s="8"/>
      <c r="H1686" s="8"/>
      <c r="I1686" s="9"/>
      <c r="J1686" s="9"/>
      <c r="K1686" s="18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ht="14.25" customHeight="1">
      <c r="A1687" s="7"/>
      <c r="B1687" s="8"/>
      <c r="C1687" s="8"/>
      <c r="D1687" s="8"/>
      <c r="E1687" s="8"/>
      <c r="F1687" s="8"/>
      <c r="G1687" s="8"/>
      <c r="H1687" s="8"/>
      <c r="I1687" s="9"/>
      <c r="J1687" s="9"/>
      <c r="K1687" s="18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ht="14.25" customHeight="1">
      <c r="A1688" s="7"/>
      <c r="B1688" s="8"/>
      <c r="C1688" s="8"/>
      <c r="D1688" s="8"/>
      <c r="E1688" s="8"/>
      <c r="F1688" s="8"/>
      <c r="G1688" s="8"/>
      <c r="H1688" s="8"/>
      <c r="I1688" s="9"/>
      <c r="J1688" s="9"/>
      <c r="K1688" s="18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ht="14.25" customHeight="1">
      <c r="A1689" s="7"/>
      <c r="B1689" s="8"/>
      <c r="C1689" s="8"/>
      <c r="D1689" s="8"/>
      <c r="E1689" s="8"/>
      <c r="F1689" s="8"/>
      <c r="G1689" s="8"/>
      <c r="H1689" s="8"/>
      <c r="I1689" s="9"/>
      <c r="J1689" s="9"/>
      <c r="K1689" s="18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ht="14.25" customHeight="1">
      <c r="A1690" s="7"/>
      <c r="B1690" s="8"/>
      <c r="C1690" s="8"/>
      <c r="D1690" s="8"/>
      <c r="E1690" s="8"/>
      <c r="F1690" s="8"/>
      <c r="G1690" s="8"/>
      <c r="H1690" s="8"/>
      <c r="I1690" s="9"/>
      <c r="J1690" s="9"/>
      <c r="K1690" s="18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ht="14.25" customHeight="1">
      <c r="A1691" s="7"/>
      <c r="B1691" s="8"/>
      <c r="C1691" s="8"/>
      <c r="D1691" s="8"/>
      <c r="E1691" s="8"/>
      <c r="F1691" s="8"/>
      <c r="G1691" s="8"/>
      <c r="H1691" s="8"/>
      <c r="I1691" s="9"/>
      <c r="J1691" s="9"/>
      <c r="K1691" s="18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ht="14.25" customHeight="1">
      <c r="A1692" s="7"/>
      <c r="B1692" s="8"/>
      <c r="C1692" s="8"/>
      <c r="D1692" s="8"/>
      <c r="E1692" s="8"/>
      <c r="F1692" s="8"/>
      <c r="G1692" s="8"/>
      <c r="H1692" s="8"/>
      <c r="I1692" s="9"/>
      <c r="J1692" s="9"/>
      <c r="K1692" s="18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ht="14.25" customHeight="1">
      <c r="A1693" s="7"/>
      <c r="B1693" s="8"/>
      <c r="C1693" s="8"/>
      <c r="D1693" s="8"/>
      <c r="E1693" s="8"/>
      <c r="F1693" s="8"/>
      <c r="G1693" s="8"/>
      <c r="H1693" s="8"/>
      <c r="I1693" s="9"/>
      <c r="J1693" s="9"/>
      <c r="K1693" s="18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ht="14.25" customHeight="1">
      <c r="A1694" s="7"/>
      <c r="B1694" s="8"/>
      <c r="C1694" s="8"/>
      <c r="D1694" s="8"/>
      <c r="E1694" s="8"/>
      <c r="F1694" s="8"/>
      <c r="G1694" s="8"/>
      <c r="H1694" s="8"/>
      <c r="I1694" s="9"/>
      <c r="J1694" s="9"/>
      <c r="K1694" s="18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ht="14.25" customHeight="1">
      <c r="A1695" s="7"/>
      <c r="B1695" s="8"/>
      <c r="C1695" s="8"/>
      <c r="D1695" s="8"/>
      <c r="E1695" s="8"/>
      <c r="F1695" s="8"/>
      <c r="G1695" s="8"/>
      <c r="H1695" s="8"/>
      <c r="I1695" s="9"/>
      <c r="J1695" s="9"/>
      <c r="K1695" s="18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ht="14.25" customHeight="1">
      <c r="A1696" s="7"/>
      <c r="B1696" s="8"/>
      <c r="C1696" s="8"/>
      <c r="D1696" s="8"/>
      <c r="E1696" s="8"/>
      <c r="F1696" s="8"/>
      <c r="G1696" s="8"/>
      <c r="H1696" s="8"/>
      <c r="I1696" s="9"/>
      <c r="J1696" s="9"/>
      <c r="K1696" s="18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ht="14.25" customHeight="1">
      <c r="A1697" s="7"/>
      <c r="B1697" s="8"/>
      <c r="C1697" s="8"/>
      <c r="D1697" s="8"/>
      <c r="E1697" s="8"/>
      <c r="F1697" s="8"/>
      <c r="G1697" s="8"/>
      <c r="H1697" s="8"/>
      <c r="I1697" s="9"/>
      <c r="J1697" s="9"/>
      <c r="K1697" s="18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ht="14.25" customHeight="1">
      <c r="A1698" s="7"/>
      <c r="B1698" s="8"/>
      <c r="C1698" s="8"/>
      <c r="D1698" s="8"/>
      <c r="E1698" s="8"/>
      <c r="F1698" s="8"/>
      <c r="G1698" s="8"/>
      <c r="H1698" s="8"/>
      <c r="I1698" s="9"/>
      <c r="J1698" s="9"/>
      <c r="K1698" s="18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ht="14.25" customHeight="1">
      <c r="A1699" s="7"/>
      <c r="B1699" s="8"/>
      <c r="C1699" s="8"/>
      <c r="D1699" s="8"/>
      <c r="E1699" s="8"/>
      <c r="F1699" s="8"/>
      <c r="G1699" s="8"/>
      <c r="H1699" s="8"/>
      <c r="I1699" s="9"/>
      <c r="J1699" s="9"/>
      <c r="K1699" s="18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ht="14.25" customHeight="1">
      <c r="A1700" s="7"/>
      <c r="B1700" s="8"/>
      <c r="C1700" s="8"/>
      <c r="D1700" s="8"/>
      <c r="E1700" s="8"/>
      <c r="F1700" s="8"/>
      <c r="G1700" s="8"/>
      <c r="H1700" s="8"/>
      <c r="I1700" s="9"/>
      <c r="J1700" s="9"/>
      <c r="K1700" s="18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ht="14.25" customHeight="1">
      <c r="A1701" s="7"/>
      <c r="B1701" s="8"/>
      <c r="C1701" s="8"/>
      <c r="D1701" s="8"/>
      <c r="E1701" s="8"/>
      <c r="F1701" s="8"/>
      <c r="G1701" s="8"/>
      <c r="H1701" s="8"/>
      <c r="I1701" s="9"/>
      <c r="J1701" s="9"/>
      <c r="K1701" s="18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ht="14.25" customHeight="1">
      <c r="A1702" s="7"/>
      <c r="B1702" s="8"/>
      <c r="C1702" s="8"/>
      <c r="D1702" s="8"/>
      <c r="E1702" s="8"/>
      <c r="F1702" s="8"/>
      <c r="G1702" s="8"/>
      <c r="H1702" s="8"/>
      <c r="I1702" s="9"/>
      <c r="J1702" s="9"/>
      <c r="K1702" s="18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ht="14.25" customHeight="1">
      <c r="A1703" s="7"/>
      <c r="B1703" s="8"/>
      <c r="C1703" s="8"/>
      <c r="D1703" s="8"/>
      <c r="E1703" s="8"/>
      <c r="F1703" s="8"/>
      <c r="G1703" s="8"/>
      <c r="H1703" s="8"/>
      <c r="I1703" s="9"/>
      <c r="J1703" s="9"/>
      <c r="K1703" s="18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ht="14.25" customHeight="1">
      <c r="A1704" s="7"/>
      <c r="B1704" s="8"/>
      <c r="C1704" s="8"/>
      <c r="D1704" s="8"/>
      <c r="E1704" s="8"/>
      <c r="F1704" s="8"/>
      <c r="G1704" s="8"/>
      <c r="H1704" s="8"/>
      <c r="I1704" s="9"/>
      <c r="J1704" s="9"/>
      <c r="K1704" s="18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ht="14.25" customHeight="1">
      <c r="A1705" s="7"/>
      <c r="B1705" s="8"/>
      <c r="C1705" s="8"/>
      <c r="D1705" s="8"/>
      <c r="E1705" s="8"/>
      <c r="F1705" s="8"/>
      <c r="G1705" s="8"/>
      <c r="H1705" s="8"/>
      <c r="I1705" s="9"/>
      <c r="J1705" s="9"/>
      <c r="K1705" s="18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ht="14.25" customHeight="1">
      <c r="A1706" s="7"/>
      <c r="B1706" s="8"/>
      <c r="C1706" s="8"/>
      <c r="D1706" s="8"/>
      <c r="E1706" s="8"/>
      <c r="F1706" s="8"/>
      <c r="G1706" s="8"/>
      <c r="H1706" s="8"/>
      <c r="I1706" s="9"/>
      <c r="J1706" s="9"/>
      <c r="K1706" s="18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ht="14.25" customHeight="1">
      <c r="A1707" s="7"/>
      <c r="B1707" s="8"/>
      <c r="C1707" s="8"/>
      <c r="D1707" s="8"/>
      <c r="E1707" s="8"/>
      <c r="F1707" s="8"/>
      <c r="G1707" s="8"/>
      <c r="H1707" s="8"/>
      <c r="I1707" s="9"/>
      <c r="J1707" s="9"/>
      <c r="K1707" s="18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ht="14.25" customHeight="1">
      <c r="A1708" s="7"/>
      <c r="B1708" s="8"/>
      <c r="C1708" s="8"/>
      <c r="D1708" s="8"/>
      <c r="E1708" s="8"/>
      <c r="F1708" s="8"/>
      <c r="G1708" s="8"/>
      <c r="H1708" s="8"/>
      <c r="I1708" s="9"/>
      <c r="J1708" s="9"/>
      <c r="K1708" s="18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ht="14.25" customHeight="1">
      <c r="A1709" s="7"/>
      <c r="B1709" s="8"/>
      <c r="C1709" s="8"/>
      <c r="D1709" s="8"/>
      <c r="E1709" s="8"/>
      <c r="F1709" s="8"/>
      <c r="G1709" s="8"/>
      <c r="H1709" s="8"/>
      <c r="I1709" s="9"/>
      <c r="J1709" s="9"/>
      <c r="K1709" s="18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ht="14.25" customHeight="1">
      <c r="A1710" s="7"/>
      <c r="B1710" s="8"/>
      <c r="C1710" s="8"/>
      <c r="D1710" s="8"/>
      <c r="E1710" s="8"/>
      <c r="F1710" s="8"/>
      <c r="G1710" s="8"/>
      <c r="H1710" s="8"/>
      <c r="I1710" s="9"/>
      <c r="J1710" s="9"/>
      <c r="K1710" s="18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ht="14.25" customHeight="1">
      <c r="A1711" s="7"/>
      <c r="B1711" s="8"/>
      <c r="C1711" s="8"/>
      <c r="D1711" s="8"/>
      <c r="E1711" s="8"/>
      <c r="F1711" s="8"/>
      <c r="G1711" s="8"/>
      <c r="H1711" s="8"/>
      <c r="I1711" s="9"/>
      <c r="J1711" s="9"/>
      <c r="K1711" s="18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ht="14.25" customHeight="1">
      <c r="A1712" s="7"/>
      <c r="B1712" s="8"/>
      <c r="C1712" s="8"/>
      <c r="D1712" s="8"/>
      <c r="E1712" s="8"/>
      <c r="F1712" s="8"/>
      <c r="G1712" s="8"/>
      <c r="H1712" s="8"/>
      <c r="I1712" s="9"/>
      <c r="J1712" s="9"/>
      <c r="K1712" s="18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ht="14.25" customHeight="1">
      <c r="A1713" s="7"/>
      <c r="B1713" s="8"/>
      <c r="C1713" s="8"/>
      <c r="D1713" s="8"/>
      <c r="E1713" s="8"/>
      <c r="F1713" s="8"/>
      <c r="G1713" s="8"/>
      <c r="H1713" s="8"/>
      <c r="I1713" s="9"/>
      <c r="J1713" s="9"/>
      <c r="K1713" s="18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ht="14.25" customHeight="1">
      <c r="A1714" s="7"/>
      <c r="B1714" s="8"/>
      <c r="C1714" s="8"/>
      <c r="D1714" s="8"/>
      <c r="E1714" s="8"/>
      <c r="F1714" s="8"/>
      <c r="G1714" s="8"/>
      <c r="H1714" s="8"/>
      <c r="I1714" s="9"/>
      <c r="J1714" s="9"/>
      <c r="K1714" s="18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ht="14.25" customHeight="1">
      <c r="A1715" s="7"/>
      <c r="B1715" s="8"/>
      <c r="C1715" s="8"/>
      <c r="D1715" s="8"/>
      <c r="E1715" s="8"/>
      <c r="F1715" s="8"/>
      <c r="G1715" s="8"/>
      <c r="H1715" s="8"/>
      <c r="I1715" s="9"/>
      <c r="J1715" s="9"/>
      <c r="K1715" s="18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ht="14.25" customHeight="1">
      <c r="A1716" s="7"/>
      <c r="B1716" s="8"/>
      <c r="C1716" s="8"/>
      <c r="D1716" s="8"/>
      <c r="E1716" s="8"/>
      <c r="F1716" s="8"/>
      <c r="G1716" s="8"/>
      <c r="H1716" s="8"/>
      <c r="I1716" s="9"/>
      <c r="J1716" s="9"/>
      <c r="K1716" s="18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ht="14.25" customHeight="1">
      <c r="A1717" s="7"/>
      <c r="B1717" s="8"/>
      <c r="C1717" s="8"/>
      <c r="D1717" s="8"/>
      <c r="E1717" s="8"/>
      <c r="F1717" s="8"/>
      <c r="G1717" s="8"/>
      <c r="H1717" s="8"/>
      <c r="I1717" s="9"/>
      <c r="J1717" s="9"/>
      <c r="K1717" s="18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ht="14.25" customHeight="1">
      <c r="A1718" s="7"/>
      <c r="B1718" s="8"/>
      <c r="C1718" s="8"/>
      <c r="D1718" s="8"/>
      <c r="E1718" s="8"/>
      <c r="F1718" s="8"/>
      <c r="G1718" s="8"/>
      <c r="H1718" s="8"/>
      <c r="I1718" s="9"/>
      <c r="J1718" s="9"/>
      <c r="K1718" s="18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ht="14.25" customHeight="1">
      <c r="A1719" s="7"/>
      <c r="B1719" s="8"/>
      <c r="C1719" s="8"/>
      <c r="D1719" s="8"/>
      <c r="E1719" s="8"/>
      <c r="F1719" s="8"/>
      <c r="G1719" s="8"/>
      <c r="H1719" s="8"/>
      <c r="I1719" s="9"/>
      <c r="J1719" s="9"/>
      <c r="K1719" s="18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ht="14.25" customHeight="1">
      <c r="A1720" s="7"/>
      <c r="B1720" s="8"/>
      <c r="C1720" s="8"/>
      <c r="D1720" s="8"/>
      <c r="E1720" s="8"/>
      <c r="F1720" s="8"/>
      <c r="G1720" s="8"/>
      <c r="H1720" s="8"/>
      <c r="I1720" s="9"/>
      <c r="J1720" s="9"/>
      <c r="K1720" s="18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ht="14.25" customHeight="1">
      <c r="A1721" s="7"/>
      <c r="B1721" s="8"/>
      <c r="C1721" s="8"/>
      <c r="D1721" s="8"/>
      <c r="E1721" s="8"/>
      <c r="F1721" s="8"/>
      <c r="G1721" s="8"/>
      <c r="H1721" s="8"/>
      <c r="I1721" s="9"/>
      <c r="J1721" s="9"/>
      <c r="K1721" s="18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ht="14.25" customHeight="1">
      <c r="A1722" s="7"/>
      <c r="B1722" s="8"/>
      <c r="C1722" s="8"/>
      <c r="D1722" s="8"/>
      <c r="E1722" s="8"/>
      <c r="F1722" s="8"/>
      <c r="G1722" s="8"/>
      <c r="H1722" s="8"/>
      <c r="I1722" s="9"/>
      <c r="J1722" s="9"/>
      <c r="K1722" s="18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ht="14.25" customHeight="1">
      <c r="A1723" s="7"/>
      <c r="B1723" s="8"/>
      <c r="C1723" s="8"/>
      <c r="D1723" s="8"/>
      <c r="E1723" s="8"/>
      <c r="F1723" s="8"/>
      <c r="G1723" s="8"/>
      <c r="H1723" s="8"/>
      <c r="I1723" s="9"/>
      <c r="J1723" s="9"/>
      <c r="K1723" s="18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ht="14.25" customHeight="1">
      <c r="A1724" s="7"/>
      <c r="B1724" s="8"/>
      <c r="C1724" s="8"/>
      <c r="D1724" s="8"/>
      <c r="E1724" s="8"/>
      <c r="F1724" s="8"/>
      <c r="G1724" s="8"/>
      <c r="H1724" s="8"/>
      <c r="I1724" s="9"/>
      <c r="J1724" s="9"/>
      <c r="K1724" s="18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ht="14.25" customHeight="1">
      <c r="A1725" s="7"/>
      <c r="B1725" s="8"/>
      <c r="C1725" s="8"/>
      <c r="D1725" s="8"/>
      <c r="E1725" s="8"/>
      <c r="F1725" s="8"/>
      <c r="G1725" s="8"/>
      <c r="H1725" s="8"/>
      <c r="I1725" s="9"/>
      <c r="J1725" s="9"/>
      <c r="K1725" s="18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ht="14.25" customHeight="1">
      <c r="A1726" s="7"/>
      <c r="B1726" s="8"/>
      <c r="C1726" s="8"/>
      <c r="D1726" s="8"/>
      <c r="E1726" s="8"/>
      <c r="F1726" s="8"/>
      <c r="G1726" s="8"/>
      <c r="H1726" s="8"/>
      <c r="I1726" s="9"/>
      <c r="J1726" s="9"/>
      <c r="K1726" s="18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ht="14.25" customHeight="1">
      <c r="A1727" s="7"/>
      <c r="B1727" s="8"/>
      <c r="C1727" s="8"/>
      <c r="D1727" s="8"/>
      <c r="E1727" s="8"/>
      <c r="F1727" s="8"/>
      <c r="G1727" s="8"/>
      <c r="H1727" s="8"/>
      <c r="I1727" s="9"/>
      <c r="J1727" s="9"/>
      <c r="K1727" s="18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ht="14.25" customHeight="1">
      <c r="A1728" s="7"/>
      <c r="B1728" s="8"/>
      <c r="C1728" s="8"/>
      <c r="D1728" s="8"/>
      <c r="E1728" s="8"/>
      <c r="F1728" s="8"/>
      <c r="G1728" s="8"/>
      <c r="H1728" s="8"/>
      <c r="I1728" s="9"/>
      <c r="J1728" s="9"/>
      <c r="K1728" s="18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ht="14.25" customHeight="1">
      <c r="A1729" s="7"/>
      <c r="B1729" s="8"/>
      <c r="C1729" s="8"/>
      <c r="D1729" s="8"/>
      <c r="E1729" s="8"/>
      <c r="F1729" s="8"/>
      <c r="G1729" s="8"/>
      <c r="H1729" s="8"/>
      <c r="I1729" s="9"/>
      <c r="J1729" s="9"/>
      <c r="K1729" s="18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ht="14.25" customHeight="1">
      <c r="A1730" s="7"/>
      <c r="B1730" s="8"/>
      <c r="C1730" s="8"/>
      <c r="D1730" s="8"/>
      <c r="E1730" s="8"/>
      <c r="F1730" s="8"/>
      <c r="G1730" s="8"/>
      <c r="H1730" s="8"/>
      <c r="I1730" s="9"/>
      <c r="J1730" s="9"/>
      <c r="K1730" s="18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ht="14.25" customHeight="1">
      <c r="A1731" s="7"/>
      <c r="B1731" s="8"/>
      <c r="C1731" s="8"/>
      <c r="D1731" s="8"/>
      <c r="E1731" s="8"/>
      <c r="F1731" s="8"/>
      <c r="G1731" s="8"/>
      <c r="H1731" s="8"/>
      <c r="I1731" s="9"/>
      <c r="J1731" s="9"/>
      <c r="K1731" s="18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ht="14.25" customHeight="1">
      <c r="A1732" s="7"/>
      <c r="B1732" s="8"/>
      <c r="C1732" s="8"/>
      <c r="D1732" s="8"/>
      <c r="E1732" s="8"/>
      <c r="F1732" s="8"/>
      <c r="G1732" s="8"/>
      <c r="H1732" s="8"/>
      <c r="I1732" s="9"/>
      <c r="J1732" s="9"/>
      <c r="K1732" s="18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ht="14.25" customHeight="1">
      <c r="A1733" s="7"/>
      <c r="B1733" s="8"/>
      <c r="C1733" s="8"/>
      <c r="D1733" s="8"/>
      <c r="E1733" s="8"/>
      <c r="F1733" s="8"/>
      <c r="G1733" s="8"/>
      <c r="H1733" s="8"/>
      <c r="I1733" s="9"/>
      <c r="J1733" s="9"/>
      <c r="K1733" s="18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ht="14.25" customHeight="1">
      <c r="A1734" s="7"/>
      <c r="B1734" s="8"/>
      <c r="C1734" s="8"/>
      <c r="D1734" s="8"/>
      <c r="E1734" s="8"/>
      <c r="F1734" s="8"/>
      <c r="G1734" s="8"/>
      <c r="H1734" s="8"/>
      <c r="I1734" s="9"/>
      <c r="J1734" s="9"/>
      <c r="K1734" s="18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ht="14.25" customHeight="1">
      <c r="A1735" s="7"/>
      <c r="B1735" s="8"/>
      <c r="C1735" s="8"/>
      <c r="D1735" s="8"/>
      <c r="E1735" s="8"/>
      <c r="F1735" s="8"/>
      <c r="G1735" s="8"/>
      <c r="H1735" s="8"/>
      <c r="I1735" s="9"/>
      <c r="J1735" s="9"/>
      <c r="K1735" s="18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ht="14.25" customHeight="1">
      <c r="A1736" s="7"/>
      <c r="B1736" s="8"/>
      <c r="C1736" s="8"/>
      <c r="D1736" s="8"/>
      <c r="E1736" s="8"/>
      <c r="F1736" s="8"/>
      <c r="G1736" s="8"/>
      <c r="H1736" s="8"/>
      <c r="I1736" s="9"/>
      <c r="J1736" s="9"/>
      <c r="K1736" s="18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ht="14.25" customHeight="1">
      <c r="A1737" s="7"/>
      <c r="B1737" s="8"/>
      <c r="C1737" s="8"/>
      <c r="D1737" s="8"/>
      <c r="E1737" s="8"/>
      <c r="F1737" s="8"/>
      <c r="G1737" s="8"/>
      <c r="H1737" s="8"/>
      <c r="I1737" s="9"/>
      <c r="J1737" s="9"/>
      <c r="K1737" s="18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ht="14.25" customHeight="1">
      <c r="A1738" s="7"/>
      <c r="B1738" s="8"/>
      <c r="C1738" s="8"/>
      <c r="D1738" s="8"/>
      <c r="E1738" s="8"/>
      <c r="F1738" s="8"/>
      <c r="G1738" s="8"/>
      <c r="H1738" s="8"/>
      <c r="I1738" s="9"/>
      <c r="J1738" s="9"/>
      <c r="K1738" s="18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ht="14.25" customHeight="1">
      <c r="A1739" s="7"/>
      <c r="B1739" s="8"/>
      <c r="C1739" s="8"/>
      <c r="D1739" s="8"/>
      <c r="E1739" s="8"/>
      <c r="F1739" s="8"/>
      <c r="G1739" s="8"/>
      <c r="H1739" s="8"/>
      <c r="I1739" s="9"/>
      <c r="J1739" s="9"/>
      <c r="K1739" s="18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ht="14.25" customHeight="1">
      <c r="A1740" s="7"/>
      <c r="B1740" s="8"/>
      <c r="C1740" s="8"/>
      <c r="D1740" s="8"/>
      <c r="E1740" s="8"/>
      <c r="F1740" s="8"/>
      <c r="G1740" s="8"/>
      <c r="H1740" s="8"/>
      <c r="I1740" s="9"/>
      <c r="J1740" s="9"/>
      <c r="K1740" s="18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ht="14.25" customHeight="1">
      <c r="A1741" s="7"/>
      <c r="B1741" s="8"/>
      <c r="C1741" s="8"/>
      <c r="D1741" s="8"/>
      <c r="E1741" s="8"/>
      <c r="F1741" s="8"/>
      <c r="G1741" s="8"/>
      <c r="H1741" s="8"/>
      <c r="I1741" s="9"/>
      <c r="J1741" s="9"/>
      <c r="K1741" s="18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ht="14.25" customHeight="1">
      <c r="A1742" s="7"/>
      <c r="B1742" s="8"/>
      <c r="C1742" s="8"/>
      <c r="D1742" s="8"/>
      <c r="E1742" s="8"/>
      <c r="F1742" s="8"/>
      <c r="G1742" s="8"/>
      <c r="H1742" s="8"/>
      <c r="I1742" s="9"/>
      <c r="J1742" s="9"/>
      <c r="K1742" s="18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ht="14.25" customHeight="1">
      <c r="A1743" s="7"/>
      <c r="B1743" s="8"/>
      <c r="C1743" s="8"/>
      <c r="D1743" s="8"/>
      <c r="E1743" s="8"/>
      <c r="F1743" s="8"/>
      <c r="G1743" s="8"/>
      <c r="H1743" s="8"/>
      <c r="I1743" s="9"/>
      <c r="J1743" s="9"/>
      <c r="K1743" s="18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ht="14.25" customHeight="1">
      <c r="A1744" s="7"/>
      <c r="B1744" s="8"/>
      <c r="C1744" s="8"/>
      <c r="D1744" s="8"/>
      <c r="E1744" s="8"/>
      <c r="F1744" s="8"/>
      <c r="G1744" s="8"/>
      <c r="H1744" s="8"/>
      <c r="I1744" s="9"/>
      <c r="J1744" s="9"/>
      <c r="K1744" s="18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ht="14.25" customHeight="1">
      <c r="A1745" s="7"/>
      <c r="B1745" s="8"/>
      <c r="C1745" s="8"/>
      <c r="D1745" s="8"/>
      <c r="E1745" s="8"/>
      <c r="F1745" s="8"/>
      <c r="G1745" s="8"/>
      <c r="H1745" s="8"/>
      <c r="I1745" s="9"/>
      <c r="J1745" s="9"/>
      <c r="K1745" s="18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ht="14.25" customHeight="1">
      <c r="A1746" s="7"/>
      <c r="B1746" s="8"/>
      <c r="C1746" s="8"/>
      <c r="D1746" s="8"/>
      <c r="E1746" s="8"/>
      <c r="F1746" s="8"/>
      <c r="G1746" s="8"/>
      <c r="H1746" s="8"/>
      <c r="I1746" s="9"/>
      <c r="J1746" s="9"/>
      <c r="K1746" s="18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ht="14.25" customHeight="1">
      <c r="A1747" s="7"/>
      <c r="B1747" s="8"/>
      <c r="C1747" s="8"/>
      <c r="D1747" s="8"/>
      <c r="E1747" s="8"/>
      <c r="F1747" s="8"/>
      <c r="G1747" s="8"/>
      <c r="H1747" s="8"/>
      <c r="I1747" s="9"/>
      <c r="J1747" s="9"/>
      <c r="K1747" s="18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ht="14.25" customHeight="1">
      <c r="A1748" s="7"/>
      <c r="B1748" s="8"/>
      <c r="C1748" s="8"/>
      <c r="D1748" s="8"/>
      <c r="E1748" s="8"/>
      <c r="F1748" s="8"/>
      <c r="G1748" s="8"/>
      <c r="H1748" s="8"/>
      <c r="I1748" s="9"/>
      <c r="J1748" s="9"/>
      <c r="K1748" s="18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ht="14.25" customHeight="1">
      <c r="A1749" s="7"/>
      <c r="B1749" s="8"/>
      <c r="C1749" s="8"/>
      <c r="D1749" s="8"/>
      <c r="E1749" s="8"/>
      <c r="F1749" s="8"/>
      <c r="G1749" s="8"/>
      <c r="H1749" s="8"/>
      <c r="I1749" s="9"/>
      <c r="J1749" s="9"/>
      <c r="K1749" s="18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ht="14.25" customHeight="1">
      <c r="A1750" s="7"/>
      <c r="B1750" s="8"/>
      <c r="C1750" s="8"/>
      <c r="D1750" s="8"/>
      <c r="E1750" s="8"/>
      <c r="F1750" s="8"/>
      <c r="G1750" s="8"/>
      <c r="H1750" s="8"/>
      <c r="I1750" s="9"/>
      <c r="J1750" s="9"/>
      <c r="K1750" s="18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ht="14.25" customHeight="1">
      <c r="A1751" s="7"/>
      <c r="B1751" s="8"/>
      <c r="C1751" s="8"/>
      <c r="D1751" s="8"/>
      <c r="E1751" s="8"/>
      <c r="F1751" s="8"/>
      <c r="G1751" s="8"/>
      <c r="H1751" s="8"/>
      <c r="I1751" s="9"/>
      <c r="J1751" s="9"/>
      <c r="K1751" s="18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ht="14.25" customHeight="1">
      <c r="A1752" s="7"/>
      <c r="B1752" s="8"/>
      <c r="C1752" s="8"/>
      <c r="D1752" s="8"/>
      <c r="E1752" s="8"/>
      <c r="F1752" s="8"/>
      <c r="G1752" s="8"/>
      <c r="H1752" s="8"/>
      <c r="I1752" s="9"/>
      <c r="J1752" s="9"/>
      <c r="K1752" s="18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ht="14.25" customHeight="1">
      <c r="A1753" s="7"/>
      <c r="B1753" s="8"/>
      <c r="C1753" s="8"/>
      <c r="D1753" s="8"/>
      <c r="E1753" s="8"/>
      <c r="F1753" s="8"/>
      <c r="G1753" s="8"/>
      <c r="H1753" s="8"/>
      <c r="I1753" s="9"/>
      <c r="J1753" s="9"/>
      <c r="K1753" s="18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ht="14.25" customHeight="1">
      <c r="A1754" s="7"/>
      <c r="B1754" s="8"/>
      <c r="C1754" s="8"/>
      <c r="D1754" s="8"/>
      <c r="E1754" s="8"/>
      <c r="F1754" s="8"/>
      <c r="G1754" s="8"/>
      <c r="H1754" s="8"/>
      <c r="I1754" s="9"/>
      <c r="J1754" s="9"/>
      <c r="K1754" s="18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ht="14.25" customHeight="1">
      <c r="A1755" s="7"/>
      <c r="B1755" s="8"/>
      <c r="C1755" s="8"/>
      <c r="D1755" s="8"/>
      <c r="E1755" s="8"/>
      <c r="F1755" s="8"/>
      <c r="G1755" s="8"/>
      <c r="H1755" s="8"/>
      <c r="I1755" s="9"/>
      <c r="J1755" s="9"/>
      <c r="K1755" s="18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ht="14.25" customHeight="1">
      <c r="A1756" s="7"/>
      <c r="B1756" s="8"/>
      <c r="C1756" s="8"/>
      <c r="D1756" s="8"/>
      <c r="E1756" s="8"/>
      <c r="F1756" s="8"/>
      <c r="G1756" s="8"/>
      <c r="H1756" s="8"/>
      <c r="I1756" s="9"/>
      <c r="J1756" s="9"/>
      <c r="K1756" s="18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ht="14.25" customHeight="1">
      <c r="A1757" s="7"/>
      <c r="B1757" s="8"/>
      <c r="C1757" s="8"/>
      <c r="D1757" s="8"/>
      <c r="E1757" s="8"/>
      <c r="F1757" s="8"/>
      <c r="G1757" s="8"/>
      <c r="H1757" s="8"/>
      <c r="I1757" s="9"/>
      <c r="J1757" s="9"/>
      <c r="K1757" s="18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ht="14.25" customHeight="1">
      <c r="A1758" s="7"/>
      <c r="B1758" s="8"/>
      <c r="C1758" s="8"/>
      <c r="D1758" s="8"/>
      <c r="E1758" s="8"/>
      <c r="F1758" s="8"/>
      <c r="G1758" s="8"/>
      <c r="H1758" s="8"/>
      <c r="I1758" s="9"/>
      <c r="J1758" s="9"/>
      <c r="K1758" s="18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ht="14.25" customHeight="1">
      <c r="A1759" s="7"/>
      <c r="B1759" s="8"/>
      <c r="C1759" s="8"/>
      <c r="D1759" s="8"/>
      <c r="E1759" s="8"/>
      <c r="F1759" s="8"/>
      <c r="G1759" s="8"/>
      <c r="H1759" s="8"/>
      <c r="I1759" s="9"/>
      <c r="J1759" s="9"/>
      <c r="K1759" s="18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ht="14.25" customHeight="1">
      <c r="A1760" s="7"/>
      <c r="B1760" s="8"/>
      <c r="C1760" s="8"/>
      <c r="D1760" s="8"/>
      <c r="E1760" s="8"/>
      <c r="F1760" s="8"/>
      <c r="G1760" s="8"/>
      <c r="H1760" s="8"/>
      <c r="I1760" s="9"/>
      <c r="J1760" s="9"/>
      <c r="K1760" s="18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ht="14.25" customHeight="1">
      <c r="A1761" s="7"/>
      <c r="B1761" s="8"/>
      <c r="C1761" s="8"/>
      <c r="D1761" s="8"/>
      <c r="E1761" s="8"/>
      <c r="F1761" s="8"/>
      <c r="G1761" s="8"/>
      <c r="H1761" s="8"/>
      <c r="I1761" s="9"/>
      <c r="J1761" s="9"/>
      <c r="K1761" s="18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ht="14.25" customHeight="1">
      <c r="A1762" s="7"/>
      <c r="B1762" s="8"/>
      <c r="C1762" s="8"/>
      <c r="D1762" s="8"/>
      <c r="E1762" s="8"/>
      <c r="F1762" s="8"/>
      <c r="G1762" s="8"/>
      <c r="H1762" s="8"/>
      <c r="I1762" s="9"/>
      <c r="J1762" s="9"/>
      <c r="K1762" s="18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ht="14.25" customHeight="1">
      <c r="A1763" s="7"/>
      <c r="B1763" s="8"/>
      <c r="C1763" s="8"/>
      <c r="D1763" s="8"/>
      <c r="E1763" s="8"/>
      <c r="F1763" s="8"/>
      <c r="G1763" s="8"/>
      <c r="H1763" s="8"/>
      <c r="I1763" s="9"/>
      <c r="J1763" s="9"/>
      <c r="K1763" s="18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ht="14.25" customHeight="1">
      <c r="A1764" s="7"/>
      <c r="B1764" s="8"/>
      <c r="C1764" s="8"/>
      <c r="D1764" s="8"/>
      <c r="E1764" s="8"/>
      <c r="F1764" s="8"/>
      <c r="G1764" s="8"/>
      <c r="H1764" s="8"/>
      <c r="I1764" s="9"/>
      <c r="J1764" s="9"/>
      <c r="K1764" s="18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ht="14.25" customHeight="1">
      <c r="A1765" s="7"/>
      <c r="B1765" s="8"/>
      <c r="C1765" s="8"/>
      <c r="D1765" s="8"/>
      <c r="E1765" s="8"/>
      <c r="F1765" s="8"/>
      <c r="G1765" s="8"/>
      <c r="H1765" s="8"/>
      <c r="I1765" s="9"/>
      <c r="J1765" s="9"/>
      <c r="K1765" s="18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ht="14.25" customHeight="1">
      <c r="A1766" s="7"/>
      <c r="B1766" s="8"/>
      <c r="C1766" s="8"/>
      <c r="D1766" s="8"/>
      <c r="E1766" s="8"/>
      <c r="F1766" s="8"/>
      <c r="G1766" s="8"/>
      <c r="H1766" s="8"/>
      <c r="I1766" s="9"/>
      <c r="J1766" s="9"/>
      <c r="K1766" s="18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ht="14.25" customHeight="1">
      <c r="A1767" s="7"/>
      <c r="B1767" s="8"/>
      <c r="C1767" s="8"/>
      <c r="D1767" s="8"/>
      <c r="E1767" s="8"/>
      <c r="F1767" s="8"/>
      <c r="G1767" s="8"/>
      <c r="H1767" s="8"/>
      <c r="I1767" s="9"/>
      <c r="J1767" s="9"/>
      <c r="K1767" s="18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ht="14.25" customHeight="1">
      <c r="A1768" s="7"/>
      <c r="B1768" s="8"/>
      <c r="C1768" s="8"/>
      <c r="D1768" s="8"/>
      <c r="E1768" s="8"/>
      <c r="F1768" s="8"/>
      <c r="G1768" s="8"/>
      <c r="H1768" s="8"/>
      <c r="I1768" s="9"/>
      <c r="J1768" s="9"/>
      <c r="K1768" s="18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ht="14.25" customHeight="1">
      <c r="A1769" s="7"/>
      <c r="B1769" s="8"/>
      <c r="C1769" s="8"/>
      <c r="D1769" s="8"/>
      <c r="E1769" s="8"/>
      <c r="F1769" s="8"/>
      <c r="G1769" s="8"/>
      <c r="H1769" s="8"/>
      <c r="I1769" s="9"/>
      <c r="J1769" s="9"/>
      <c r="K1769" s="18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ht="14.25" customHeight="1">
      <c r="A1770" s="7"/>
      <c r="B1770" s="8"/>
      <c r="C1770" s="8"/>
      <c r="D1770" s="8"/>
      <c r="E1770" s="8"/>
      <c r="F1770" s="8"/>
      <c r="G1770" s="8"/>
      <c r="H1770" s="8"/>
      <c r="I1770" s="9"/>
      <c r="J1770" s="9"/>
      <c r="K1770" s="18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ht="14.25" customHeight="1">
      <c r="A1771" s="7"/>
      <c r="B1771" s="8"/>
      <c r="C1771" s="8"/>
      <c r="D1771" s="8"/>
      <c r="E1771" s="8"/>
      <c r="F1771" s="8"/>
      <c r="G1771" s="8"/>
      <c r="H1771" s="8"/>
      <c r="I1771" s="9"/>
      <c r="J1771" s="9"/>
      <c r="K1771" s="18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ht="14.25" customHeight="1">
      <c r="A1772" s="7"/>
      <c r="B1772" s="8"/>
      <c r="C1772" s="8"/>
      <c r="D1772" s="8"/>
      <c r="E1772" s="8"/>
      <c r="F1772" s="8"/>
      <c r="G1772" s="8"/>
      <c r="H1772" s="8"/>
      <c r="I1772" s="9"/>
      <c r="J1772" s="9"/>
      <c r="K1772" s="18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ht="14.25" customHeight="1">
      <c r="A1773" s="7"/>
      <c r="B1773" s="8"/>
      <c r="C1773" s="8"/>
      <c r="D1773" s="8"/>
      <c r="E1773" s="8"/>
      <c r="F1773" s="8"/>
      <c r="G1773" s="8"/>
      <c r="H1773" s="8"/>
      <c r="I1773" s="9"/>
      <c r="J1773" s="9"/>
      <c r="K1773" s="18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ht="14.25" customHeight="1">
      <c r="A1774" s="7"/>
      <c r="B1774" s="8"/>
      <c r="C1774" s="8"/>
      <c r="D1774" s="8"/>
      <c r="E1774" s="8"/>
      <c r="F1774" s="8"/>
      <c r="G1774" s="8"/>
      <c r="H1774" s="8"/>
      <c r="I1774" s="9"/>
      <c r="J1774" s="9"/>
      <c r="K1774" s="18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ht="14.25" customHeight="1">
      <c r="A1775" s="7"/>
      <c r="B1775" s="8"/>
      <c r="C1775" s="8"/>
      <c r="D1775" s="8"/>
      <c r="E1775" s="8"/>
      <c r="F1775" s="8"/>
      <c r="G1775" s="8"/>
      <c r="H1775" s="8"/>
      <c r="I1775" s="9"/>
      <c r="J1775" s="9"/>
      <c r="K1775" s="18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ht="14.25" customHeight="1">
      <c r="A1776" s="7"/>
      <c r="B1776" s="8"/>
      <c r="C1776" s="8"/>
      <c r="D1776" s="8"/>
      <c r="E1776" s="8"/>
      <c r="F1776" s="8"/>
      <c r="G1776" s="8"/>
      <c r="H1776" s="8"/>
      <c r="I1776" s="9"/>
      <c r="J1776" s="9"/>
      <c r="K1776" s="18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ht="14.25" customHeight="1">
      <c r="A1777" s="7"/>
      <c r="B1777" s="8"/>
      <c r="C1777" s="8"/>
      <c r="D1777" s="8"/>
      <c r="E1777" s="8"/>
      <c r="F1777" s="8"/>
      <c r="G1777" s="8"/>
      <c r="H1777" s="8"/>
      <c r="I1777" s="9"/>
      <c r="J1777" s="9"/>
      <c r="K1777" s="18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ht="14.25" customHeight="1">
      <c r="A1778" s="7"/>
      <c r="B1778" s="8"/>
      <c r="C1778" s="8"/>
      <c r="D1778" s="8"/>
      <c r="E1778" s="8"/>
      <c r="F1778" s="8"/>
      <c r="G1778" s="8"/>
      <c r="H1778" s="8"/>
      <c r="I1778" s="9"/>
      <c r="J1778" s="9"/>
      <c r="K1778" s="18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ht="14.25" customHeight="1">
      <c r="A1779" s="7"/>
      <c r="B1779" s="8"/>
      <c r="C1779" s="8"/>
      <c r="D1779" s="8"/>
      <c r="E1779" s="8"/>
      <c r="F1779" s="8"/>
      <c r="G1779" s="8"/>
      <c r="H1779" s="8"/>
      <c r="I1779" s="9"/>
      <c r="J1779" s="9"/>
      <c r="K1779" s="18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ht="14.25" customHeight="1">
      <c r="A1780" s="7"/>
      <c r="B1780" s="8"/>
      <c r="C1780" s="8"/>
      <c r="D1780" s="8"/>
      <c r="E1780" s="8"/>
      <c r="F1780" s="8"/>
      <c r="G1780" s="8"/>
      <c r="H1780" s="8"/>
      <c r="I1780" s="9"/>
      <c r="J1780" s="9"/>
      <c r="K1780" s="18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ht="14.25" customHeight="1">
      <c r="A1781" s="7"/>
      <c r="B1781" s="8"/>
      <c r="C1781" s="8"/>
      <c r="D1781" s="8"/>
      <c r="E1781" s="8"/>
      <c r="F1781" s="8"/>
      <c r="G1781" s="8"/>
      <c r="H1781" s="8"/>
      <c r="I1781" s="9"/>
      <c r="J1781" s="9"/>
      <c r="K1781" s="18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ht="14.25" customHeight="1">
      <c r="A1782" s="7"/>
      <c r="B1782" s="8"/>
      <c r="C1782" s="8"/>
      <c r="D1782" s="8"/>
      <c r="E1782" s="8"/>
      <c r="F1782" s="8"/>
      <c r="G1782" s="8"/>
      <c r="H1782" s="8"/>
      <c r="I1782" s="9"/>
      <c r="J1782" s="9"/>
      <c r="K1782" s="18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ht="14.25" customHeight="1">
      <c r="A1783" s="7"/>
      <c r="B1783" s="8"/>
      <c r="C1783" s="8"/>
      <c r="D1783" s="8"/>
      <c r="E1783" s="8"/>
      <c r="F1783" s="8"/>
      <c r="G1783" s="8"/>
      <c r="H1783" s="8"/>
      <c r="I1783" s="9"/>
      <c r="J1783" s="9"/>
      <c r="K1783" s="18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ht="14.25" customHeight="1">
      <c r="A1784" s="7"/>
      <c r="B1784" s="8"/>
      <c r="C1784" s="8"/>
      <c r="D1784" s="8"/>
      <c r="E1784" s="8"/>
      <c r="F1784" s="8"/>
      <c r="G1784" s="8"/>
      <c r="H1784" s="8"/>
      <c r="I1784" s="9"/>
      <c r="J1784" s="9"/>
      <c r="K1784" s="18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ht="14.25" customHeight="1">
      <c r="A1785" s="7"/>
      <c r="B1785" s="8"/>
      <c r="C1785" s="8"/>
      <c r="D1785" s="8"/>
      <c r="E1785" s="8"/>
      <c r="F1785" s="8"/>
      <c r="G1785" s="8"/>
      <c r="H1785" s="8"/>
      <c r="I1785" s="9"/>
      <c r="J1785" s="9"/>
      <c r="K1785" s="18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ht="14.25" customHeight="1">
      <c r="A1786" s="7"/>
      <c r="B1786" s="8"/>
      <c r="C1786" s="8"/>
      <c r="D1786" s="8"/>
      <c r="E1786" s="8"/>
      <c r="F1786" s="8"/>
      <c r="G1786" s="8"/>
      <c r="H1786" s="8"/>
      <c r="I1786" s="9"/>
      <c r="J1786" s="9"/>
      <c r="K1786" s="18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ht="14.25" customHeight="1">
      <c r="A1787" s="7"/>
      <c r="B1787" s="8"/>
      <c r="C1787" s="8"/>
      <c r="D1787" s="8"/>
      <c r="E1787" s="8"/>
      <c r="F1787" s="8"/>
      <c r="G1787" s="8"/>
      <c r="H1787" s="8"/>
      <c r="I1787" s="9"/>
      <c r="J1787" s="9"/>
      <c r="K1787" s="18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ht="14.25" customHeight="1">
      <c r="A1788" s="7"/>
      <c r="B1788" s="8"/>
      <c r="C1788" s="8"/>
      <c r="D1788" s="8"/>
      <c r="E1788" s="8"/>
      <c r="F1788" s="8"/>
      <c r="G1788" s="8"/>
      <c r="H1788" s="8"/>
      <c r="I1788" s="9"/>
      <c r="J1788" s="9"/>
      <c r="K1788" s="18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ht="14.25" customHeight="1">
      <c r="A1789" s="7"/>
      <c r="B1789" s="8"/>
      <c r="C1789" s="8"/>
      <c r="D1789" s="8"/>
      <c r="E1789" s="8"/>
      <c r="F1789" s="8"/>
      <c r="G1789" s="8"/>
      <c r="H1789" s="8"/>
      <c r="I1789" s="9"/>
      <c r="J1789" s="9"/>
      <c r="K1789" s="18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ht="14.25" customHeight="1">
      <c r="A1790" s="7"/>
      <c r="B1790" s="8"/>
      <c r="C1790" s="8"/>
      <c r="D1790" s="8"/>
      <c r="E1790" s="8"/>
      <c r="F1790" s="8"/>
      <c r="G1790" s="8"/>
      <c r="H1790" s="8"/>
      <c r="I1790" s="9"/>
      <c r="J1790" s="9"/>
      <c r="K1790" s="18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ht="14.25" customHeight="1">
      <c r="A1791" s="7"/>
      <c r="B1791" s="8"/>
      <c r="C1791" s="8"/>
      <c r="D1791" s="8"/>
      <c r="E1791" s="8"/>
      <c r="F1791" s="8"/>
      <c r="G1791" s="8"/>
      <c r="H1791" s="8"/>
      <c r="I1791" s="9"/>
      <c r="J1791" s="9"/>
      <c r="K1791" s="18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ht="14.25" customHeight="1">
      <c r="A1792" s="7"/>
      <c r="B1792" s="8"/>
      <c r="C1792" s="8"/>
      <c r="D1792" s="8"/>
      <c r="E1792" s="8"/>
      <c r="F1792" s="8"/>
      <c r="G1792" s="8"/>
      <c r="H1792" s="8"/>
      <c r="I1792" s="9"/>
      <c r="J1792" s="9"/>
      <c r="K1792" s="18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ht="14.25" customHeight="1">
      <c r="A1793" s="7"/>
      <c r="B1793" s="8"/>
      <c r="C1793" s="8"/>
      <c r="D1793" s="8"/>
      <c r="E1793" s="8"/>
      <c r="F1793" s="8"/>
      <c r="G1793" s="8"/>
      <c r="H1793" s="8"/>
      <c r="I1793" s="9"/>
      <c r="J1793" s="9"/>
      <c r="K1793" s="18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ht="14.25" customHeight="1">
      <c r="A1794" s="7"/>
      <c r="B1794" s="8"/>
      <c r="C1794" s="8"/>
      <c r="D1794" s="8"/>
      <c r="E1794" s="8"/>
      <c r="F1794" s="8"/>
      <c r="G1794" s="8"/>
      <c r="H1794" s="8"/>
      <c r="I1794" s="9"/>
      <c r="J1794" s="9"/>
      <c r="K1794" s="18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ht="14.25" customHeight="1">
      <c r="A1795" s="7"/>
      <c r="B1795" s="8"/>
      <c r="C1795" s="8"/>
      <c r="D1795" s="8"/>
      <c r="E1795" s="8"/>
      <c r="F1795" s="8"/>
      <c r="G1795" s="8"/>
      <c r="H1795" s="8"/>
      <c r="I1795" s="9"/>
      <c r="J1795" s="9"/>
      <c r="K1795" s="18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ht="14.25" customHeight="1">
      <c r="A1796" s="7"/>
      <c r="B1796" s="8"/>
      <c r="C1796" s="8"/>
      <c r="D1796" s="8"/>
      <c r="E1796" s="8"/>
      <c r="F1796" s="8"/>
      <c r="G1796" s="8"/>
      <c r="H1796" s="8"/>
      <c r="I1796" s="9"/>
      <c r="J1796" s="9"/>
      <c r="K1796" s="18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ht="14.25" customHeight="1">
      <c r="A1797" s="7"/>
      <c r="B1797" s="8"/>
      <c r="C1797" s="8"/>
      <c r="D1797" s="8"/>
      <c r="E1797" s="8"/>
      <c r="F1797" s="8"/>
      <c r="G1797" s="8"/>
      <c r="H1797" s="8"/>
      <c r="I1797" s="9"/>
      <c r="J1797" s="9"/>
      <c r="K1797" s="18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ht="14.25" customHeight="1">
      <c r="A1798" s="7"/>
      <c r="B1798" s="8"/>
      <c r="C1798" s="8"/>
      <c r="D1798" s="8"/>
      <c r="E1798" s="8"/>
      <c r="F1798" s="8"/>
      <c r="G1798" s="8"/>
      <c r="H1798" s="8"/>
      <c r="I1798" s="9"/>
      <c r="J1798" s="9"/>
      <c r="K1798" s="18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ht="14.25" customHeight="1">
      <c r="A1799" s="7"/>
      <c r="B1799" s="8"/>
      <c r="C1799" s="8"/>
      <c r="D1799" s="8"/>
      <c r="E1799" s="8"/>
      <c r="F1799" s="8"/>
      <c r="G1799" s="8"/>
      <c r="H1799" s="8"/>
      <c r="I1799" s="9"/>
      <c r="J1799" s="9"/>
      <c r="K1799" s="18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ht="14.25" customHeight="1">
      <c r="A1800" s="7"/>
      <c r="B1800" s="8"/>
      <c r="C1800" s="8"/>
      <c r="D1800" s="8"/>
      <c r="E1800" s="8"/>
      <c r="F1800" s="8"/>
      <c r="G1800" s="8"/>
      <c r="H1800" s="8"/>
      <c r="I1800" s="9"/>
      <c r="J1800" s="9"/>
      <c r="K1800" s="18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ht="14.25" customHeight="1">
      <c r="A1801" s="7"/>
      <c r="B1801" s="8"/>
      <c r="C1801" s="8"/>
      <c r="D1801" s="8"/>
      <c r="E1801" s="8"/>
      <c r="F1801" s="8"/>
      <c r="G1801" s="8"/>
      <c r="H1801" s="8"/>
      <c r="I1801" s="9"/>
      <c r="J1801" s="9"/>
      <c r="K1801" s="18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ht="14.25" customHeight="1">
      <c r="A1802" s="7"/>
      <c r="B1802" s="8"/>
      <c r="C1802" s="8"/>
      <c r="D1802" s="8"/>
      <c r="E1802" s="8"/>
      <c r="F1802" s="8"/>
      <c r="G1802" s="8"/>
      <c r="H1802" s="8"/>
      <c r="I1802" s="9"/>
      <c r="J1802" s="9"/>
      <c r="K1802" s="18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ht="14.25" customHeight="1">
      <c r="A1803" s="7"/>
      <c r="B1803" s="8"/>
      <c r="C1803" s="8"/>
      <c r="D1803" s="8"/>
      <c r="E1803" s="8"/>
      <c r="F1803" s="8"/>
      <c r="G1803" s="8"/>
      <c r="H1803" s="8"/>
      <c r="I1803" s="9"/>
      <c r="J1803" s="9"/>
      <c r="K1803" s="18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ht="14.25" customHeight="1">
      <c r="A1804" s="7"/>
      <c r="B1804" s="8"/>
      <c r="C1804" s="8"/>
      <c r="D1804" s="8"/>
      <c r="E1804" s="8"/>
      <c r="F1804" s="8"/>
      <c r="G1804" s="8"/>
      <c r="H1804" s="8"/>
      <c r="I1804" s="9"/>
      <c r="J1804" s="9"/>
      <c r="K1804" s="18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ht="14.25" customHeight="1">
      <c r="A1805" s="7"/>
      <c r="B1805" s="8"/>
      <c r="C1805" s="8"/>
      <c r="D1805" s="8"/>
      <c r="E1805" s="8"/>
      <c r="F1805" s="8"/>
      <c r="G1805" s="8"/>
      <c r="H1805" s="8"/>
      <c r="I1805" s="9"/>
      <c r="J1805" s="9"/>
      <c r="K1805" s="18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ht="14.25" customHeight="1">
      <c r="A1806" s="7"/>
      <c r="B1806" s="8"/>
      <c r="C1806" s="8"/>
      <c r="D1806" s="8"/>
      <c r="E1806" s="8"/>
      <c r="F1806" s="8"/>
      <c r="G1806" s="8"/>
      <c r="H1806" s="8"/>
      <c r="I1806" s="9"/>
      <c r="J1806" s="9"/>
      <c r="K1806" s="18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ht="14.25" customHeight="1">
      <c r="A1807" s="7"/>
      <c r="B1807" s="8"/>
      <c r="C1807" s="8"/>
      <c r="D1807" s="8"/>
      <c r="E1807" s="8"/>
      <c r="F1807" s="8"/>
      <c r="G1807" s="8"/>
      <c r="H1807" s="8"/>
      <c r="I1807" s="9"/>
      <c r="J1807" s="9"/>
      <c r="K1807" s="18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ht="14.25" customHeight="1">
      <c r="A1808" s="7"/>
      <c r="B1808" s="8"/>
      <c r="C1808" s="8"/>
      <c r="D1808" s="8"/>
      <c r="E1808" s="8"/>
      <c r="F1808" s="8"/>
      <c r="G1808" s="8"/>
      <c r="H1808" s="8"/>
      <c r="I1808" s="9"/>
      <c r="J1808" s="9"/>
      <c r="K1808" s="18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ht="14.25" customHeight="1">
      <c r="A1809" s="7"/>
      <c r="B1809" s="8"/>
      <c r="C1809" s="8"/>
      <c r="D1809" s="8"/>
      <c r="E1809" s="8"/>
      <c r="F1809" s="8"/>
      <c r="G1809" s="8"/>
      <c r="H1809" s="8"/>
      <c r="I1809" s="9"/>
      <c r="J1809" s="9"/>
      <c r="K1809" s="18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ht="14.25" customHeight="1">
      <c r="A1810" s="7"/>
      <c r="B1810" s="8"/>
      <c r="C1810" s="8"/>
      <c r="D1810" s="8"/>
      <c r="E1810" s="8"/>
      <c r="F1810" s="8"/>
      <c r="G1810" s="8"/>
      <c r="H1810" s="8"/>
      <c r="I1810" s="9"/>
      <c r="J1810" s="9"/>
      <c r="K1810" s="18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ht="14.25" customHeight="1">
      <c r="A1811" s="7"/>
      <c r="B1811" s="8"/>
      <c r="C1811" s="8"/>
      <c r="D1811" s="8"/>
      <c r="E1811" s="8"/>
      <c r="F1811" s="8"/>
      <c r="G1811" s="8"/>
      <c r="H1811" s="8"/>
      <c r="I1811" s="9"/>
      <c r="J1811" s="9"/>
      <c r="K1811" s="18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ht="14.25" customHeight="1">
      <c r="A1812" s="7"/>
      <c r="B1812" s="8"/>
      <c r="C1812" s="8"/>
      <c r="D1812" s="8"/>
      <c r="E1812" s="8"/>
      <c r="F1812" s="8"/>
      <c r="G1812" s="8"/>
      <c r="H1812" s="8"/>
      <c r="I1812" s="9"/>
      <c r="J1812" s="9"/>
      <c r="K1812" s="18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ht="14.25" customHeight="1">
      <c r="A1813" s="7"/>
      <c r="B1813" s="8"/>
      <c r="C1813" s="8"/>
      <c r="D1813" s="8"/>
      <c r="E1813" s="8"/>
      <c r="F1813" s="8"/>
      <c r="G1813" s="8"/>
      <c r="H1813" s="8"/>
      <c r="I1813" s="9"/>
      <c r="J1813" s="9"/>
      <c r="K1813" s="18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ht="14.25" customHeight="1">
      <c r="A1814" s="7"/>
      <c r="B1814" s="8"/>
      <c r="C1814" s="8"/>
      <c r="D1814" s="8"/>
      <c r="E1814" s="8"/>
      <c r="F1814" s="8"/>
      <c r="G1814" s="8"/>
      <c r="H1814" s="8"/>
      <c r="I1814" s="9"/>
      <c r="J1814" s="9"/>
      <c r="K1814" s="18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ht="14.25" customHeight="1">
      <c r="A1815" s="7"/>
      <c r="B1815" s="8"/>
      <c r="C1815" s="8"/>
      <c r="D1815" s="8"/>
      <c r="E1815" s="8"/>
      <c r="F1815" s="8"/>
      <c r="G1815" s="8"/>
      <c r="H1815" s="8"/>
      <c r="I1815" s="9"/>
      <c r="J1815" s="9"/>
      <c r="K1815" s="18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ht="14.25" customHeight="1">
      <c r="A1816" s="7"/>
      <c r="B1816" s="8"/>
      <c r="C1816" s="8"/>
      <c r="D1816" s="8"/>
      <c r="E1816" s="8"/>
      <c r="F1816" s="8"/>
      <c r="G1816" s="8"/>
      <c r="H1816" s="8"/>
      <c r="I1816" s="9"/>
      <c r="J1816" s="9"/>
      <c r="K1816" s="18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ht="14.25" customHeight="1">
      <c r="A1817" s="7"/>
      <c r="B1817" s="8"/>
      <c r="C1817" s="8"/>
      <c r="D1817" s="8"/>
      <c r="E1817" s="8"/>
      <c r="F1817" s="8"/>
      <c r="G1817" s="8"/>
      <c r="H1817" s="8"/>
      <c r="I1817" s="9"/>
      <c r="J1817" s="9"/>
      <c r="K1817" s="18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ht="14.25" customHeight="1">
      <c r="A1818" s="7"/>
      <c r="B1818" s="8"/>
      <c r="C1818" s="8"/>
      <c r="D1818" s="8"/>
      <c r="E1818" s="8"/>
      <c r="F1818" s="8"/>
      <c r="G1818" s="8"/>
      <c r="H1818" s="8"/>
      <c r="I1818" s="9"/>
      <c r="J1818" s="9"/>
      <c r="K1818" s="18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ht="14.25" customHeight="1">
      <c r="A1819" s="7"/>
      <c r="B1819" s="8"/>
      <c r="C1819" s="8"/>
      <c r="D1819" s="8"/>
      <c r="E1819" s="8"/>
      <c r="F1819" s="8"/>
      <c r="G1819" s="8"/>
      <c r="H1819" s="8"/>
      <c r="I1819" s="9"/>
      <c r="J1819" s="9"/>
      <c r="K1819" s="18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ht="14.25" customHeight="1">
      <c r="A1820" s="7"/>
      <c r="B1820" s="8"/>
      <c r="C1820" s="8"/>
      <c r="D1820" s="8"/>
      <c r="E1820" s="8"/>
      <c r="F1820" s="8"/>
      <c r="G1820" s="8"/>
      <c r="H1820" s="8"/>
      <c r="I1820" s="9"/>
      <c r="J1820" s="9"/>
      <c r="K1820" s="18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ht="14.25" customHeight="1">
      <c r="A1821" s="7"/>
      <c r="B1821" s="8"/>
      <c r="C1821" s="8"/>
      <c r="D1821" s="8"/>
      <c r="E1821" s="8"/>
      <c r="F1821" s="8"/>
      <c r="G1821" s="8"/>
      <c r="H1821" s="8"/>
      <c r="I1821" s="9"/>
      <c r="J1821" s="9"/>
      <c r="K1821" s="18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ht="14.25" customHeight="1">
      <c r="A1822" s="7"/>
      <c r="B1822" s="8"/>
      <c r="C1822" s="8"/>
      <c r="D1822" s="8"/>
      <c r="E1822" s="8"/>
      <c r="F1822" s="8"/>
      <c r="G1822" s="8"/>
      <c r="H1822" s="8"/>
      <c r="I1822" s="9"/>
      <c r="J1822" s="9"/>
      <c r="K1822" s="18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ht="14.25" customHeight="1">
      <c r="A1823" s="7"/>
      <c r="B1823" s="8"/>
      <c r="C1823" s="8"/>
      <c r="D1823" s="8"/>
      <c r="E1823" s="8"/>
      <c r="F1823" s="8"/>
      <c r="G1823" s="8"/>
      <c r="H1823" s="8"/>
      <c r="I1823" s="9"/>
      <c r="J1823" s="9"/>
      <c r="K1823" s="18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ht="14.25" customHeight="1">
      <c r="A1824" s="7"/>
      <c r="B1824" s="8"/>
      <c r="C1824" s="8"/>
      <c r="D1824" s="8"/>
      <c r="E1824" s="8"/>
      <c r="F1824" s="8"/>
      <c r="G1824" s="8"/>
      <c r="H1824" s="8"/>
      <c r="I1824" s="9"/>
      <c r="J1824" s="9"/>
      <c r="K1824" s="18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ht="14.25" customHeight="1">
      <c r="A1825" s="7"/>
      <c r="B1825" s="8"/>
      <c r="C1825" s="8"/>
      <c r="D1825" s="8"/>
      <c r="E1825" s="8"/>
      <c r="F1825" s="8"/>
      <c r="G1825" s="8"/>
      <c r="H1825" s="8"/>
      <c r="I1825" s="9"/>
      <c r="J1825" s="9"/>
      <c r="K1825" s="18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ht="14.25" customHeight="1">
      <c r="A1826" s="7"/>
      <c r="B1826" s="8"/>
      <c r="C1826" s="8"/>
      <c r="D1826" s="8"/>
      <c r="E1826" s="8"/>
      <c r="F1826" s="8"/>
      <c r="G1826" s="8"/>
      <c r="H1826" s="8"/>
      <c r="I1826" s="9"/>
      <c r="J1826" s="9"/>
      <c r="K1826" s="18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ht="14.25" customHeight="1">
      <c r="A1827" s="7"/>
      <c r="B1827" s="8"/>
      <c r="C1827" s="8"/>
      <c r="D1827" s="8"/>
      <c r="E1827" s="8"/>
      <c r="F1827" s="8"/>
      <c r="G1827" s="8"/>
      <c r="H1827" s="8"/>
      <c r="I1827" s="9"/>
      <c r="J1827" s="9"/>
      <c r="K1827" s="18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ht="14.25" customHeight="1">
      <c r="A1828" s="7"/>
      <c r="B1828" s="8"/>
      <c r="C1828" s="8"/>
      <c r="D1828" s="8"/>
      <c r="E1828" s="8"/>
      <c r="F1828" s="8"/>
      <c r="G1828" s="8"/>
      <c r="H1828" s="8"/>
      <c r="I1828" s="9"/>
      <c r="J1828" s="9"/>
      <c r="K1828" s="18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ht="14.25" customHeight="1">
      <c r="A1829" s="7"/>
      <c r="B1829" s="8"/>
      <c r="C1829" s="8"/>
      <c r="D1829" s="8"/>
      <c r="E1829" s="8"/>
      <c r="F1829" s="8"/>
      <c r="G1829" s="8"/>
      <c r="H1829" s="8"/>
      <c r="I1829" s="9"/>
      <c r="J1829" s="9"/>
      <c r="K1829" s="18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ht="14.25" customHeight="1">
      <c r="A1830" s="7"/>
      <c r="B1830" s="8"/>
      <c r="C1830" s="8"/>
      <c r="D1830" s="8"/>
      <c r="E1830" s="8"/>
      <c r="F1830" s="8"/>
      <c r="G1830" s="8"/>
      <c r="H1830" s="8"/>
      <c r="I1830" s="9"/>
      <c r="J1830" s="9"/>
      <c r="K1830" s="18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ht="14.25" customHeight="1">
      <c r="A1831" s="7"/>
      <c r="B1831" s="8"/>
      <c r="C1831" s="8"/>
      <c r="D1831" s="8"/>
      <c r="E1831" s="8"/>
      <c r="F1831" s="8"/>
      <c r="G1831" s="8"/>
      <c r="H1831" s="8"/>
      <c r="I1831" s="9"/>
      <c r="J1831" s="9"/>
      <c r="K1831" s="18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ht="14.25" customHeight="1">
      <c r="A1832" s="7"/>
      <c r="B1832" s="8"/>
      <c r="C1832" s="8"/>
      <c r="D1832" s="8"/>
      <c r="E1832" s="8"/>
      <c r="F1832" s="8"/>
      <c r="G1832" s="8"/>
      <c r="H1832" s="8"/>
      <c r="I1832" s="9"/>
      <c r="J1832" s="9"/>
      <c r="K1832" s="18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ht="14.25" customHeight="1">
      <c r="A1833" s="7"/>
      <c r="B1833" s="8"/>
      <c r="C1833" s="8"/>
      <c r="D1833" s="8"/>
      <c r="E1833" s="8"/>
      <c r="F1833" s="8"/>
      <c r="G1833" s="8"/>
      <c r="H1833" s="8"/>
      <c r="I1833" s="9"/>
      <c r="J1833" s="9"/>
      <c r="K1833" s="18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ht="14.25" customHeight="1">
      <c r="A1834" s="7"/>
      <c r="B1834" s="8"/>
      <c r="C1834" s="8"/>
      <c r="D1834" s="8"/>
      <c r="E1834" s="8"/>
      <c r="F1834" s="8"/>
      <c r="G1834" s="8"/>
      <c r="H1834" s="8"/>
      <c r="I1834" s="9"/>
      <c r="J1834" s="9"/>
      <c r="K1834" s="18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ht="14.25" customHeight="1">
      <c r="A1835" s="7"/>
      <c r="B1835" s="8"/>
      <c r="C1835" s="8"/>
      <c r="D1835" s="8"/>
      <c r="E1835" s="8"/>
      <c r="F1835" s="8"/>
      <c r="G1835" s="8"/>
      <c r="H1835" s="8"/>
      <c r="I1835" s="9"/>
      <c r="J1835" s="9"/>
      <c r="K1835" s="18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ht="14.25" customHeight="1">
      <c r="A1836" s="7"/>
      <c r="B1836" s="8"/>
      <c r="C1836" s="8"/>
      <c r="D1836" s="8"/>
      <c r="E1836" s="8"/>
      <c r="F1836" s="8"/>
      <c r="G1836" s="8"/>
      <c r="H1836" s="8"/>
      <c r="I1836" s="9"/>
      <c r="J1836" s="9"/>
      <c r="K1836" s="18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ht="14.25" customHeight="1">
      <c r="A1837" s="7"/>
      <c r="B1837" s="8"/>
      <c r="C1837" s="8"/>
      <c r="D1837" s="8"/>
      <c r="E1837" s="8"/>
      <c r="F1837" s="8"/>
      <c r="G1837" s="8"/>
      <c r="H1837" s="8"/>
      <c r="I1837" s="9"/>
      <c r="J1837" s="9"/>
      <c r="K1837" s="18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ht="14.25" customHeight="1">
      <c r="A1838" s="7"/>
      <c r="B1838" s="8"/>
      <c r="C1838" s="8"/>
      <c r="D1838" s="8"/>
      <c r="E1838" s="8"/>
      <c r="F1838" s="8"/>
      <c r="G1838" s="8"/>
      <c r="H1838" s="8"/>
      <c r="I1838" s="9"/>
      <c r="J1838" s="9"/>
      <c r="K1838" s="18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ht="14.25" customHeight="1">
      <c r="A1839" s="7"/>
      <c r="B1839" s="8"/>
      <c r="C1839" s="8"/>
      <c r="D1839" s="8"/>
      <c r="E1839" s="8"/>
      <c r="F1839" s="8"/>
      <c r="G1839" s="8"/>
      <c r="H1839" s="8"/>
      <c r="I1839" s="9"/>
      <c r="J1839" s="9"/>
      <c r="K1839" s="18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ht="14.25" customHeight="1">
      <c r="A1840" s="7"/>
      <c r="B1840" s="8"/>
      <c r="C1840" s="8"/>
      <c r="D1840" s="8"/>
      <c r="E1840" s="8"/>
      <c r="F1840" s="8"/>
      <c r="G1840" s="8"/>
      <c r="H1840" s="8"/>
      <c r="I1840" s="9"/>
      <c r="J1840" s="9"/>
      <c r="K1840" s="18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ht="14.25" customHeight="1">
      <c r="A1841" s="7"/>
      <c r="B1841" s="8"/>
      <c r="C1841" s="8"/>
      <c r="D1841" s="8"/>
      <c r="E1841" s="8"/>
      <c r="F1841" s="8"/>
      <c r="G1841" s="8"/>
      <c r="H1841" s="8"/>
      <c r="I1841" s="9"/>
      <c r="J1841" s="9"/>
      <c r="K1841" s="18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ht="14.25" customHeight="1">
      <c r="A1842" s="7"/>
      <c r="B1842" s="8"/>
      <c r="C1842" s="8"/>
      <c r="D1842" s="8"/>
      <c r="E1842" s="8"/>
      <c r="F1842" s="8"/>
      <c r="G1842" s="8"/>
      <c r="H1842" s="8"/>
      <c r="I1842" s="9"/>
      <c r="J1842" s="9"/>
      <c r="K1842" s="18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ht="14.25" customHeight="1">
      <c r="A1843" s="7"/>
      <c r="B1843" s="8"/>
      <c r="C1843" s="8"/>
      <c r="D1843" s="8"/>
      <c r="E1843" s="8"/>
      <c r="F1843" s="8"/>
      <c r="G1843" s="8"/>
      <c r="H1843" s="8"/>
      <c r="I1843" s="9"/>
      <c r="J1843" s="9"/>
      <c r="K1843" s="18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ht="14.25" customHeight="1">
      <c r="A1844" s="7"/>
      <c r="B1844" s="8"/>
      <c r="C1844" s="8"/>
      <c r="D1844" s="8"/>
      <c r="E1844" s="8"/>
      <c r="F1844" s="8"/>
      <c r="G1844" s="8"/>
      <c r="H1844" s="8"/>
      <c r="I1844" s="9"/>
      <c r="J1844" s="9"/>
      <c r="K1844" s="18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ht="14.25" customHeight="1">
      <c r="A1845" s="7"/>
      <c r="B1845" s="8"/>
      <c r="C1845" s="8"/>
      <c r="D1845" s="8"/>
      <c r="E1845" s="8"/>
      <c r="F1845" s="8"/>
      <c r="G1845" s="8"/>
      <c r="H1845" s="8"/>
      <c r="I1845" s="9"/>
      <c r="J1845" s="9"/>
      <c r="K1845" s="18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ht="14.25" customHeight="1">
      <c r="A1846" s="7"/>
      <c r="B1846" s="8"/>
      <c r="C1846" s="8"/>
      <c r="D1846" s="8"/>
      <c r="E1846" s="8"/>
      <c r="F1846" s="8"/>
      <c r="G1846" s="8"/>
      <c r="H1846" s="8"/>
      <c r="I1846" s="9"/>
      <c r="J1846" s="9"/>
      <c r="K1846" s="18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ht="14.25" customHeight="1">
      <c r="A1847" s="7"/>
      <c r="B1847" s="8"/>
      <c r="C1847" s="8"/>
      <c r="D1847" s="8"/>
      <c r="E1847" s="8"/>
      <c r="F1847" s="8"/>
      <c r="G1847" s="8"/>
      <c r="H1847" s="8"/>
      <c r="I1847" s="9"/>
      <c r="J1847" s="9"/>
      <c r="K1847" s="18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ht="14.25" customHeight="1">
      <c r="A1848" s="7"/>
      <c r="B1848" s="8"/>
      <c r="C1848" s="8"/>
      <c r="D1848" s="8"/>
      <c r="E1848" s="8"/>
      <c r="F1848" s="8"/>
      <c r="G1848" s="8"/>
      <c r="H1848" s="8"/>
      <c r="I1848" s="9"/>
      <c r="J1848" s="9"/>
      <c r="K1848" s="18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ht="14.25" customHeight="1">
      <c r="A1849" s="7"/>
      <c r="B1849" s="8"/>
      <c r="C1849" s="8"/>
      <c r="D1849" s="8"/>
      <c r="E1849" s="8"/>
      <c r="F1849" s="8"/>
      <c r="G1849" s="8"/>
      <c r="H1849" s="8"/>
      <c r="I1849" s="9"/>
      <c r="J1849" s="9"/>
      <c r="K1849" s="18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ht="14.25" customHeight="1">
      <c r="A1850" s="7"/>
      <c r="B1850" s="8"/>
      <c r="C1850" s="8"/>
      <c r="D1850" s="8"/>
      <c r="E1850" s="8"/>
      <c r="F1850" s="8"/>
      <c r="G1850" s="8"/>
      <c r="H1850" s="8"/>
      <c r="I1850" s="9"/>
      <c r="J1850" s="9"/>
      <c r="K1850" s="18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ht="14.25" customHeight="1">
      <c r="A1851" s="7"/>
      <c r="B1851" s="8"/>
      <c r="C1851" s="8"/>
      <c r="D1851" s="8"/>
      <c r="E1851" s="8"/>
      <c r="F1851" s="8"/>
      <c r="G1851" s="8"/>
      <c r="H1851" s="8"/>
      <c r="I1851" s="9"/>
      <c r="J1851" s="9"/>
      <c r="K1851" s="18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ht="14.25" customHeight="1">
      <c r="A1852" s="7"/>
      <c r="B1852" s="8"/>
      <c r="C1852" s="8"/>
      <c r="D1852" s="8"/>
      <c r="E1852" s="8"/>
      <c r="F1852" s="8"/>
      <c r="G1852" s="8"/>
      <c r="H1852" s="8"/>
      <c r="I1852" s="9"/>
      <c r="J1852" s="9"/>
      <c r="K1852" s="18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ht="14.25" customHeight="1">
      <c r="A1853" s="7"/>
      <c r="B1853" s="8"/>
      <c r="C1853" s="8"/>
      <c r="D1853" s="8"/>
      <c r="E1853" s="8"/>
      <c r="F1853" s="8"/>
      <c r="G1853" s="8"/>
      <c r="H1853" s="8"/>
      <c r="I1853" s="9"/>
      <c r="J1853" s="9"/>
      <c r="K1853" s="18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ht="14.25" customHeight="1">
      <c r="A1854" s="7"/>
      <c r="B1854" s="8"/>
      <c r="C1854" s="8"/>
      <c r="D1854" s="8"/>
      <c r="E1854" s="8"/>
      <c r="F1854" s="8"/>
      <c r="G1854" s="8"/>
      <c r="H1854" s="8"/>
      <c r="I1854" s="9"/>
      <c r="J1854" s="9"/>
      <c r="K1854" s="18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ht="14.25" customHeight="1">
      <c r="A1855" s="7"/>
      <c r="B1855" s="8"/>
      <c r="C1855" s="8"/>
      <c r="D1855" s="8"/>
      <c r="E1855" s="8"/>
      <c r="F1855" s="8"/>
      <c r="G1855" s="8"/>
      <c r="H1855" s="8"/>
      <c r="I1855" s="9"/>
      <c r="J1855" s="9"/>
      <c r="K1855" s="18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ht="14.25" customHeight="1">
      <c r="A1856" s="7"/>
      <c r="B1856" s="8"/>
      <c r="C1856" s="8"/>
      <c r="D1856" s="8"/>
      <c r="E1856" s="8"/>
      <c r="F1856" s="8"/>
      <c r="G1856" s="8"/>
      <c r="H1856" s="8"/>
      <c r="I1856" s="9"/>
      <c r="J1856" s="9"/>
      <c r="K1856" s="18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ht="14.25" customHeight="1">
      <c r="A1857" s="7"/>
      <c r="B1857" s="8"/>
      <c r="C1857" s="8"/>
      <c r="D1857" s="8"/>
      <c r="E1857" s="8"/>
      <c r="F1857" s="8"/>
      <c r="G1857" s="8"/>
      <c r="H1857" s="8"/>
      <c r="I1857" s="9"/>
      <c r="J1857" s="9"/>
      <c r="K1857" s="18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ht="14.25" customHeight="1">
      <c r="A1858" s="7"/>
      <c r="B1858" s="8"/>
      <c r="C1858" s="8"/>
      <c r="D1858" s="8"/>
      <c r="E1858" s="8"/>
      <c r="F1858" s="8"/>
      <c r="G1858" s="8"/>
      <c r="H1858" s="8"/>
      <c r="I1858" s="9"/>
      <c r="J1858" s="9"/>
      <c r="K1858" s="18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ht="14.25" customHeight="1">
      <c r="A1859" s="7"/>
      <c r="B1859" s="8"/>
      <c r="C1859" s="8"/>
      <c r="D1859" s="8"/>
      <c r="E1859" s="8"/>
      <c r="F1859" s="8"/>
      <c r="G1859" s="8"/>
      <c r="H1859" s="8"/>
      <c r="I1859" s="9"/>
      <c r="J1859" s="9"/>
      <c r="K1859" s="18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ht="14.25" customHeight="1">
      <c r="A1860" s="7"/>
      <c r="B1860" s="8"/>
      <c r="C1860" s="8"/>
      <c r="D1860" s="8"/>
      <c r="E1860" s="8"/>
      <c r="F1860" s="8"/>
      <c r="G1860" s="8"/>
      <c r="H1860" s="8"/>
      <c r="I1860" s="9"/>
      <c r="J1860" s="9"/>
      <c r="K1860" s="18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ht="14.25" customHeight="1">
      <c r="A1861" s="7"/>
      <c r="B1861" s="8"/>
      <c r="C1861" s="8"/>
      <c r="D1861" s="8"/>
      <c r="E1861" s="8"/>
      <c r="F1861" s="8"/>
      <c r="G1861" s="8"/>
      <c r="H1861" s="8"/>
      <c r="I1861" s="9"/>
      <c r="J1861" s="9"/>
      <c r="K1861" s="18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ht="14.25" customHeight="1">
      <c r="A1862" s="7"/>
      <c r="B1862" s="8"/>
      <c r="C1862" s="8"/>
      <c r="D1862" s="8"/>
      <c r="E1862" s="8"/>
      <c r="F1862" s="8"/>
      <c r="G1862" s="8"/>
      <c r="H1862" s="8"/>
      <c r="I1862" s="9"/>
      <c r="J1862" s="9"/>
      <c r="K1862" s="18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ht="14.25" customHeight="1">
      <c r="A1863" s="7"/>
      <c r="B1863" s="8"/>
      <c r="C1863" s="8"/>
      <c r="D1863" s="8"/>
      <c r="E1863" s="8"/>
      <c r="F1863" s="8"/>
      <c r="G1863" s="8"/>
      <c r="H1863" s="8"/>
      <c r="I1863" s="9"/>
      <c r="J1863" s="9"/>
      <c r="K1863" s="18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ht="14.25" customHeight="1">
      <c r="A1864" s="7"/>
      <c r="B1864" s="8"/>
      <c r="C1864" s="8"/>
      <c r="D1864" s="8"/>
      <c r="E1864" s="8"/>
      <c r="F1864" s="8"/>
      <c r="G1864" s="8"/>
      <c r="H1864" s="8"/>
      <c r="I1864" s="9"/>
      <c r="J1864" s="9"/>
      <c r="K1864" s="18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ht="14.25" customHeight="1">
      <c r="A1865" s="7"/>
      <c r="B1865" s="8"/>
      <c r="C1865" s="8"/>
      <c r="D1865" s="8"/>
      <c r="E1865" s="8"/>
      <c r="F1865" s="8"/>
      <c r="G1865" s="8"/>
      <c r="H1865" s="8"/>
      <c r="I1865" s="9"/>
      <c r="J1865" s="9"/>
      <c r="K1865" s="18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ht="14.25" customHeight="1">
      <c r="A1866" s="7"/>
      <c r="B1866" s="8"/>
      <c r="C1866" s="8"/>
      <c r="D1866" s="8"/>
      <c r="E1866" s="8"/>
      <c r="F1866" s="8"/>
      <c r="G1866" s="8"/>
      <c r="H1866" s="8"/>
      <c r="I1866" s="9"/>
      <c r="J1866" s="9"/>
      <c r="K1866" s="18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ht="14.25" customHeight="1">
      <c r="A1867" s="7"/>
      <c r="B1867" s="8"/>
      <c r="C1867" s="8"/>
      <c r="D1867" s="8"/>
      <c r="E1867" s="8"/>
      <c r="F1867" s="8"/>
      <c r="G1867" s="8"/>
      <c r="H1867" s="8"/>
      <c r="I1867" s="9"/>
      <c r="J1867" s="9"/>
      <c r="K1867" s="18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ht="14.25" customHeight="1">
      <c r="A1868" s="7"/>
      <c r="B1868" s="8"/>
      <c r="C1868" s="8"/>
      <c r="D1868" s="8"/>
      <c r="E1868" s="8"/>
      <c r="F1868" s="8"/>
      <c r="G1868" s="8"/>
      <c r="H1868" s="8"/>
      <c r="I1868" s="9"/>
      <c r="J1868" s="9"/>
      <c r="K1868" s="18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ht="14.25" customHeight="1">
      <c r="A1869" s="7"/>
      <c r="B1869" s="8"/>
      <c r="C1869" s="8"/>
      <c r="D1869" s="8"/>
      <c r="E1869" s="8"/>
      <c r="F1869" s="8"/>
      <c r="G1869" s="8"/>
      <c r="H1869" s="8"/>
      <c r="I1869" s="9"/>
      <c r="J1869" s="9"/>
      <c r="K1869" s="18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ht="14.25" customHeight="1">
      <c r="A1870" s="7"/>
      <c r="B1870" s="8"/>
      <c r="C1870" s="8"/>
      <c r="D1870" s="8"/>
      <c r="E1870" s="8"/>
      <c r="F1870" s="8"/>
      <c r="G1870" s="8"/>
      <c r="H1870" s="8"/>
      <c r="I1870" s="9"/>
      <c r="J1870" s="9"/>
      <c r="K1870" s="18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ht="14.25" customHeight="1">
      <c r="A1871" s="7"/>
      <c r="B1871" s="8"/>
      <c r="C1871" s="8"/>
      <c r="D1871" s="8"/>
      <c r="E1871" s="8"/>
      <c r="F1871" s="8"/>
      <c r="G1871" s="8"/>
      <c r="H1871" s="8"/>
      <c r="I1871" s="9"/>
      <c r="J1871" s="9"/>
      <c r="K1871" s="18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ht="14.25" customHeight="1">
      <c r="A1872" s="7"/>
      <c r="B1872" s="8"/>
      <c r="C1872" s="8"/>
      <c r="D1872" s="8"/>
      <c r="E1872" s="8"/>
      <c r="F1872" s="8"/>
      <c r="G1872" s="8"/>
      <c r="H1872" s="8"/>
      <c r="I1872" s="9"/>
      <c r="J1872" s="9"/>
      <c r="K1872" s="18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ht="14.25" customHeight="1">
      <c r="A1873" s="7"/>
      <c r="B1873" s="8"/>
      <c r="C1873" s="8"/>
      <c r="D1873" s="8"/>
      <c r="E1873" s="8"/>
      <c r="F1873" s="8"/>
      <c r="G1873" s="8"/>
      <c r="H1873" s="8"/>
      <c r="I1873" s="9"/>
      <c r="J1873" s="9"/>
      <c r="K1873" s="18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ht="14.25" customHeight="1">
      <c r="A1874" s="7"/>
      <c r="B1874" s="8"/>
      <c r="C1874" s="8"/>
      <c r="D1874" s="8"/>
      <c r="E1874" s="8"/>
      <c r="F1874" s="8"/>
      <c r="G1874" s="8"/>
      <c r="H1874" s="8"/>
      <c r="I1874" s="9"/>
      <c r="J1874" s="9"/>
      <c r="K1874" s="18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ht="14.25" customHeight="1">
      <c r="A1875" s="7"/>
      <c r="B1875" s="8"/>
      <c r="C1875" s="8"/>
      <c r="D1875" s="8"/>
      <c r="E1875" s="8"/>
      <c r="F1875" s="8"/>
      <c r="G1875" s="8"/>
      <c r="H1875" s="8"/>
      <c r="I1875" s="9"/>
      <c r="J1875" s="9"/>
      <c r="K1875" s="18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ht="14.25" customHeight="1">
      <c r="A1876" s="7"/>
      <c r="B1876" s="8"/>
      <c r="C1876" s="8"/>
      <c r="D1876" s="8"/>
      <c r="E1876" s="8"/>
      <c r="F1876" s="8"/>
      <c r="G1876" s="8"/>
      <c r="H1876" s="8"/>
      <c r="I1876" s="9"/>
      <c r="J1876" s="9"/>
      <c r="K1876" s="18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ht="14.25" customHeight="1">
      <c r="A1877" s="7"/>
      <c r="B1877" s="8"/>
      <c r="C1877" s="8"/>
      <c r="D1877" s="8"/>
      <c r="E1877" s="8"/>
      <c r="F1877" s="8"/>
      <c r="G1877" s="8"/>
      <c r="H1877" s="8"/>
      <c r="I1877" s="9"/>
      <c r="J1877" s="9"/>
      <c r="K1877" s="18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ht="14.25" customHeight="1">
      <c r="A1878" s="7"/>
      <c r="B1878" s="8"/>
      <c r="C1878" s="8"/>
      <c r="D1878" s="8"/>
      <c r="E1878" s="8"/>
      <c r="F1878" s="8"/>
      <c r="G1878" s="8"/>
      <c r="H1878" s="8"/>
      <c r="I1878" s="9"/>
      <c r="J1878" s="9"/>
      <c r="K1878" s="18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ht="14.25" customHeight="1">
      <c r="A1879" s="7"/>
      <c r="B1879" s="8"/>
      <c r="C1879" s="8"/>
      <c r="D1879" s="8"/>
      <c r="E1879" s="8"/>
      <c r="F1879" s="8"/>
      <c r="G1879" s="8"/>
      <c r="H1879" s="8"/>
      <c r="I1879" s="9"/>
      <c r="J1879" s="9"/>
      <c r="K1879" s="18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ht="14.25" customHeight="1">
      <c r="A1880" s="7"/>
      <c r="B1880" s="8"/>
      <c r="C1880" s="8"/>
      <c r="D1880" s="8"/>
      <c r="E1880" s="8"/>
      <c r="F1880" s="8"/>
      <c r="G1880" s="8"/>
      <c r="H1880" s="8"/>
      <c r="I1880" s="9"/>
      <c r="J1880" s="9"/>
      <c r="K1880" s="18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ht="14.25" customHeight="1">
      <c r="A1881" s="7"/>
      <c r="B1881" s="8"/>
      <c r="C1881" s="8"/>
      <c r="D1881" s="8"/>
      <c r="E1881" s="8"/>
      <c r="F1881" s="8"/>
      <c r="G1881" s="8"/>
      <c r="H1881" s="8"/>
      <c r="I1881" s="9"/>
      <c r="J1881" s="9"/>
      <c r="K1881" s="18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ht="14.25" customHeight="1">
      <c r="A1882" s="7"/>
      <c r="B1882" s="8"/>
      <c r="C1882" s="8"/>
      <c r="D1882" s="8"/>
      <c r="E1882" s="8"/>
      <c r="F1882" s="8"/>
      <c r="G1882" s="8"/>
      <c r="H1882" s="8"/>
      <c r="I1882" s="9"/>
      <c r="J1882" s="9"/>
      <c r="K1882" s="18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ht="14.25" customHeight="1">
      <c r="A1883" s="7"/>
      <c r="B1883" s="8"/>
      <c r="C1883" s="8"/>
      <c r="D1883" s="8"/>
      <c r="E1883" s="8"/>
      <c r="F1883" s="8"/>
      <c r="G1883" s="8"/>
      <c r="H1883" s="8"/>
      <c r="I1883" s="9"/>
      <c r="J1883" s="9"/>
      <c r="K1883" s="18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ht="14.25" customHeight="1">
      <c r="A1884" s="7"/>
      <c r="B1884" s="8"/>
      <c r="C1884" s="8"/>
      <c r="D1884" s="8"/>
      <c r="E1884" s="8"/>
      <c r="F1884" s="8"/>
      <c r="G1884" s="8"/>
      <c r="H1884" s="8"/>
      <c r="I1884" s="9"/>
      <c r="J1884" s="9"/>
      <c r="K1884" s="18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ht="14.25" customHeight="1">
      <c r="A1885" s="7"/>
      <c r="B1885" s="8"/>
      <c r="C1885" s="8"/>
      <c r="D1885" s="8"/>
      <c r="E1885" s="8"/>
      <c r="F1885" s="8"/>
      <c r="G1885" s="8"/>
      <c r="H1885" s="8"/>
      <c r="I1885" s="9"/>
      <c r="J1885" s="9"/>
      <c r="K1885" s="18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ht="14.25" customHeight="1">
      <c r="A1886" s="7"/>
      <c r="B1886" s="8"/>
      <c r="C1886" s="8"/>
      <c r="D1886" s="8"/>
      <c r="E1886" s="8"/>
      <c r="F1886" s="8"/>
      <c r="G1886" s="8"/>
      <c r="H1886" s="8"/>
      <c r="I1886" s="9"/>
      <c r="J1886" s="9"/>
      <c r="K1886" s="18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ht="14.25" customHeight="1">
      <c r="A1887" s="7"/>
      <c r="B1887" s="8"/>
      <c r="C1887" s="8"/>
      <c r="D1887" s="8"/>
      <c r="E1887" s="8"/>
      <c r="F1887" s="8"/>
      <c r="G1887" s="8"/>
      <c r="H1887" s="8"/>
      <c r="I1887" s="9"/>
      <c r="J1887" s="9"/>
      <c r="K1887" s="18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ht="14.25" customHeight="1">
      <c r="A1888" s="7"/>
      <c r="B1888" s="8"/>
      <c r="C1888" s="8"/>
      <c r="D1888" s="8"/>
      <c r="E1888" s="8"/>
      <c r="F1888" s="8"/>
      <c r="G1888" s="8"/>
      <c r="H1888" s="8"/>
      <c r="I1888" s="9"/>
      <c r="J1888" s="9"/>
      <c r="K1888" s="18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ht="14.25" customHeight="1">
      <c r="A1889" s="7"/>
      <c r="B1889" s="8"/>
      <c r="C1889" s="8"/>
      <c r="D1889" s="8"/>
      <c r="E1889" s="8"/>
      <c r="F1889" s="8"/>
      <c r="G1889" s="8"/>
      <c r="H1889" s="8"/>
      <c r="I1889" s="9"/>
      <c r="J1889" s="9"/>
      <c r="K1889" s="18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ht="14.25" customHeight="1">
      <c r="A1890" s="7"/>
      <c r="B1890" s="8"/>
      <c r="C1890" s="8"/>
      <c r="D1890" s="8"/>
      <c r="E1890" s="8"/>
      <c r="F1890" s="8"/>
      <c r="G1890" s="8"/>
      <c r="H1890" s="8"/>
      <c r="I1890" s="9"/>
      <c r="J1890" s="9"/>
      <c r="K1890" s="18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ht="14.25" customHeight="1">
      <c r="A1891" s="7"/>
      <c r="B1891" s="8"/>
      <c r="C1891" s="8"/>
      <c r="D1891" s="8"/>
      <c r="E1891" s="8"/>
      <c r="F1891" s="8"/>
      <c r="G1891" s="8"/>
      <c r="H1891" s="8"/>
      <c r="I1891" s="9"/>
      <c r="J1891" s="9"/>
      <c r="K1891" s="18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ht="14.25" customHeight="1">
      <c r="A1892" s="7"/>
      <c r="B1892" s="8"/>
      <c r="C1892" s="8"/>
      <c r="D1892" s="8"/>
      <c r="E1892" s="8"/>
      <c r="F1892" s="8"/>
      <c r="G1892" s="8"/>
      <c r="H1892" s="8"/>
      <c r="I1892" s="9"/>
      <c r="J1892" s="9"/>
      <c r="K1892" s="18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ht="14.25" customHeight="1">
      <c r="A1893" s="7"/>
      <c r="B1893" s="8"/>
      <c r="C1893" s="8"/>
      <c r="D1893" s="8"/>
      <c r="E1893" s="8"/>
      <c r="F1893" s="8"/>
      <c r="G1893" s="8"/>
      <c r="H1893" s="8"/>
      <c r="I1893" s="9"/>
      <c r="J1893" s="9"/>
      <c r="K1893" s="18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ht="14.25" customHeight="1">
      <c r="A1894" s="7"/>
      <c r="B1894" s="8"/>
      <c r="C1894" s="8"/>
      <c r="D1894" s="8"/>
      <c r="E1894" s="8"/>
      <c r="F1894" s="8"/>
      <c r="G1894" s="8"/>
      <c r="H1894" s="8"/>
      <c r="I1894" s="9"/>
      <c r="J1894" s="9"/>
      <c r="K1894" s="18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ht="14.25" customHeight="1">
      <c r="A1895" s="7"/>
      <c r="B1895" s="8"/>
      <c r="C1895" s="8"/>
      <c r="D1895" s="8"/>
      <c r="E1895" s="8"/>
      <c r="F1895" s="8"/>
      <c r="G1895" s="8"/>
      <c r="H1895" s="8"/>
      <c r="I1895" s="9"/>
      <c r="J1895" s="9"/>
      <c r="K1895" s="18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ht="14.25" customHeight="1">
      <c r="A1896" s="7"/>
      <c r="B1896" s="8"/>
      <c r="C1896" s="8"/>
      <c r="D1896" s="8"/>
      <c r="E1896" s="8"/>
      <c r="F1896" s="8"/>
      <c r="G1896" s="8"/>
      <c r="H1896" s="8"/>
      <c r="I1896" s="9"/>
      <c r="J1896" s="9"/>
      <c r="K1896" s="18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ht="14.25" customHeight="1">
      <c r="A1897" s="7"/>
      <c r="B1897" s="8"/>
      <c r="C1897" s="8"/>
      <c r="D1897" s="8"/>
      <c r="E1897" s="8"/>
      <c r="F1897" s="8"/>
      <c r="G1897" s="8"/>
      <c r="H1897" s="8"/>
      <c r="I1897" s="9"/>
      <c r="J1897" s="9"/>
      <c r="K1897" s="18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ht="14.25" customHeight="1">
      <c r="A1898" s="7"/>
      <c r="B1898" s="8"/>
      <c r="C1898" s="8"/>
      <c r="D1898" s="8"/>
      <c r="E1898" s="8"/>
      <c r="F1898" s="8"/>
      <c r="G1898" s="8"/>
      <c r="H1898" s="8"/>
      <c r="I1898" s="9"/>
      <c r="J1898" s="9"/>
      <c r="K1898" s="18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ht="14.25" customHeight="1">
      <c r="A1899" s="7"/>
      <c r="B1899" s="8"/>
      <c r="C1899" s="8"/>
      <c r="D1899" s="8"/>
      <c r="E1899" s="8"/>
      <c r="F1899" s="8"/>
      <c r="G1899" s="8"/>
      <c r="H1899" s="8"/>
      <c r="I1899" s="9"/>
      <c r="J1899" s="9"/>
      <c r="K1899" s="18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ht="14.25" customHeight="1">
      <c r="A1900" s="7"/>
      <c r="B1900" s="8"/>
      <c r="C1900" s="8"/>
      <c r="D1900" s="8"/>
      <c r="E1900" s="8"/>
      <c r="F1900" s="8"/>
      <c r="G1900" s="8"/>
      <c r="H1900" s="8"/>
      <c r="I1900" s="9"/>
      <c r="J1900" s="9"/>
      <c r="K1900" s="18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ht="14.25" customHeight="1">
      <c r="A1901" s="7"/>
      <c r="B1901" s="8"/>
      <c r="C1901" s="8"/>
      <c r="D1901" s="8"/>
      <c r="E1901" s="8"/>
      <c r="F1901" s="8"/>
      <c r="G1901" s="8"/>
      <c r="H1901" s="8"/>
      <c r="I1901" s="9"/>
      <c r="J1901" s="9"/>
      <c r="K1901" s="18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ht="14.25" customHeight="1">
      <c r="A1902" s="7"/>
      <c r="B1902" s="8"/>
      <c r="C1902" s="8"/>
      <c r="D1902" s="8"/>
      <c r="E1902" s="8"/>
      <c r="F1902" s="8"/>
      <c r="G1902" s="8"/>
      <c r="H1902" s="8"/>
      <c r="I1902" s="9"/>
      <c r="J1902" s="9"/>
      <c r="K1902" s="18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ht="14.25" customHeight="1">
      <c r="A1903" s="7"/>
      <c r="B1903" s="8"/>
      <c r="C1903" s="8"/>
      <c r="D1903" s="8"/>
      <c r="E1903" s="8"/>
      <c r="F1903" s="8"/>
      <c r="G1903" s="8"/>
      <c r="H1903" s="8"/>
      <c r="I1903" s="9"/>
      <c r="J1903" s="9"/>
      <c r="K1903" s="18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ht="14.25" customHeight="1">
      <c r="A1904" s="7"/>
      <c r="B1904" s="8"/>
      <c r="C1904" s="8"/>
      <c r="D1904" s="8"/>
      <c r="E1904" s="8"/>
      <c r="F1904" s="8"/>
      <c r="G1904" s="8"/>
      <c r="H1904" s="8"/>
      <c r="I1904" s="9"/>
      <c r="J1904" s="9"/>
      <c r="K1904" s="18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ht="14.25" customHeight="1">
      <c r="A1905" s="7"/>
      <c r="B1905" s="8"/>
      <c r="C1905" s="8"/>
      <c r="D1905" s="8"/>
      <c r="E1905" s="8"/>
      <c r="F1905" s="8"/>
      <c r="G1905" s="8"/>
      <c r="H1905" s="8"/>
      <c r="I1905" s="9"/>
      <c r="J1905" s="9"/>
      <c r="K1905" s="18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ht="14.25" customHeight="1">
      <c r="A1906" s="7"/>
      <c r="B1906" s="8"/>
      <c r="C1906" s="8"/>
      <c r="D1906" s="8"/>
      <c r="E1906" s="8"/>
      <c r="F1906" s="8"/>
      <c r="G1906" s="8"/>
      <c r="H1906" s="8"/>
      <c r="I1906" s="9"/>
      <c r="J1906" s="9"/>
      <c r="K1906" s="18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ht="14.25" customHeight="1">
      <c r="A1907" s="7"/>
      <c r="B1907" s="8"/>
      <c r="C1907" s="8"/>
      <c r="D1907" s="8"/>
      <c r="E1907" s="8"/>
      <c r="F1907" s="8"/>
      <c r="G1907" s="8"/>
      <c r="H1907" s="8"/>
      <c r="I1907" s="9"/>
      <c r="J1907" s="9"/>
      <c r="K1907" s="18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ht="14.25" customHeight="1">
      <c r="A1908" s="7"/>
      <c r="B1908" s="8"/>
      <c r="C1908" s="8"/>
      <c r="D1908" s="8"/>
      <c r="E1908" s="8"/>
      <c r="F1908" s="8"/>
      <c r="G1908" s="8"/>
      <c r="H1908" s="8"/>
      <c r="I1908" s="9"/>
      <c r="J1908" s="9"/>
      <c r="K1908" s="18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ht="14.25" customHeight="1">
      <c r="A1909" s="7"/>
      <c r="B1909" s="8"/>
      <c r="C1909" s="8"/>
      <c r="D1909" s="8"/>
      <c r="E1909" s="8"/>
      <c r="F1909" s="8"/>
      <c r="G1909" s="8"/>
      <c r="H1909" s="8"/>
      <c r="I1909" s="9"/>
      <c r="J1909" s="9"/>
      <c r="K1909" s="18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ht="14.25" customHeight="1">
      <c r="A1910" s="7"/>
      <c r="B1910" s="8"/>
      <c r="C1910" s="8"/>
      <c r="D1910" s="8"/>
      <c r="E1910" s="8"/>
      <c r="F1910" s="8"/>
      <c r="G1910" s="8"/>
      <c r="H1910" s="8"/>
      <c r="I1910" s="9"/>
      <c r="J1910" s="9"/>
      <c r="K1910" s="18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ht="14.25" customHeight="1">
      <c r="A1911" s="7"/>
      <c r="B1911" s="8"/>
      <c r="C1911" s="8"/>
      <c r="D1911" s="8"/>
      <c r="E1911" s="8"/>
      <c r="F1911" s="8"/>
      <c r="G1911" s="8"/>
      <c r="H1911" s="8"/>
      <c r="I1911" s="9"/>
      <c r="J1911" s="9"/>
      <c r="K1911" s="18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ht="14.25" customHeight="1">
      <c r="A1912" s="7"/>
      <c r="B1912" s="8"/>
      <c r="C1912" s="8"/>
      <c r="D1912" s="8"/>
      <c r="E1912" s="8"/>
      <c r="F1912" s="8"/>
      <c r="G1912" s="8"/>
      <c r="H1912" s="8"/>
      <c r="I1912" s="9"/>
      <c r="J1912" s="9"/>
      <c r="K1912" s="18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ht="14.25" customHeight="1">
      <c r="A1913" s="7"/>
      <c r="B1913" s="8"/>
      <c r="C1913" s="8"/>
      <c r="D1913" s="8"/>
      <c r="E1913" s="8"/>
      <c r="F1913" s="8"/>
      <c r="G1913" s="8"/>
      <c r="H1913" s="8"/>
      <c r="I1913" s="9"/>
      <c r="J1913" s="9"/>
      <c r="K1913" s="18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ht="14.25" customHeight="1">
      <c r="A1914" s="7"/>
      <c r="B1914" s="8"/>
      <c r="C1914" s="8"/>
      <c r="D1914" s="8"/>
      <c r="E1914" s="8"/>
      <c r="F1914" s="8"/>
      <c r="G1914" s="8"/>
      <c r="H1914" s="8"/>
      <c r="I1914" s="9"/>
      <c r="J1914" s="9"/>
      <c r="K1914" s="18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ht="14.25" customHeight="1">
      <c r="A1915" s="7"/>
      <c r="B1915" s="8"/>
      <c r="C1915" s="8"/>
      <c r="D1915" s="8"/>
      <c r="E1915" s="8"/>
      <c r="F1915" s="8"/>
      <c r="G1915" s="8"/>
      <c r="H1915" s="8"/>
      <c r="I1915" s="9"/>
      <c r="J1915" s="9"/>
      <c r="K1915" s="18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ht="14.25" customHeight="1">
      <c r="A1916" s="7"/>
      <c r="B1916" s="8"/>
      <c r="C1916" s="8"/>
      <c r="D1916" s="8"/>
      <c r="E1916" s="8"/>
      <c r="F1916" s="8"/>
      <c r="G1916" s="8"/>
      <c r="H1916" s="8"/>
      <c r="I1916" s="9"/>
      <c r="J1916" s="9"/>
      <c r="K1916" s="18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ht="14.25" customHeight="1">
      <c r="A1917" s="7"/>
      <c r="B1917" s="8"/>
      <c r="C1917" s="8"/>
      <c r="D1917" s="8"/>
      <c r="E1917" s="8"/>
      <c r="F1917" s="8"/>
      <c r="G1917" s="8"/>
      <c r="H1917" s="8"/>
      <c r="I1917" s="9"/>
      <c r="J1917" s="9"/>
      <c r="K1917" s="18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ht="14.25" customHeight="1">
      <c r="A1918" s="7"/>
      <c r="B1918" s="8"/>
      <c r="C1918" s="8"/>
      <c r="D1918" s="8"/>
      <c r="E1918" s="8"/>
      <c r="F1918" s="8"/>
      <c r="G1918" s="8"/>
      <c r="H1918" s="8"/>
      <c r="I1918" s="9"/>
      <c r="J1918" s="9"/>
      <c r="K1918" s="18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ht="14.25" customHeight="1">
      <c r="A1919" s="7"/>
      <c r="B1919" s="8"/>
      <c r="C1919" s="8"/>
      <c r="D1919" s="8"/>
      <c r="E1919" s="8"/>
      <c r="F1919" s="8"/>
      <c r="G1919" s="8"/>
      <c r="H1919" s="8"/>
      <c r="I1919" s="9"/>
      <c r="J1919" s="9"/>
      <c r="K1919" s="18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ht="14.25" customHeight="1">
      <c r="A1920" s="7"/>
      <c r="B1920" s="8"/>
      <c r="C1920" s="8"/>
      <c r="D1920" s="8"/>
      <c r="E1920" s="8"/>
      <c r="F1920" s="8"/>
      <c r="G1920" s="8"/>
      <c r="H1920" s="8"/>
      <c r="I1920" s="9"/>
      <c r="J1920" s="9"/>
      <c r="K1920" s="18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ht="14.25" customHeight="1">
      <c r="A1921" s="7"/>
      <c r="B1921" s="8"/>
      <c r="C1921" s="8"/>
      <c r="D1921" s="8"/>
      <c r="E1921" s="8"/>
      <c r="F1921" s="8"/>
      <c r="G1921" s="8"/>
      <c r="H1921" s="8"/>
      <c r="I1921" s="9"/>
      <c r="J1921" s="9"/>
      <c r="K1921" s="18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ht="14.25" customHeight="1">
      <c r="A1922" s="7"/>
      <c r="B1922" s="8"/>
      <c r="C1922" s="8"/>
      <c r="D1922" s="8"/>
      <c r="E1922" s="8"/>
      <c r="F1922" s="8"/>
      <c r="G1922" s="8"/>
      <c r="H1922" s="8"/>
      <c r="I1922" s="9"/>
      <c r="J1922" s="9"/>
      <c r="K1922" s="18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ht="14.25" customHeight="1">
      <c r="A1923" s="7"/>
      <c r="B1923" s="8"/>
      <c r="C1923" s="8"/>
      <c r="D1923" s="8"/>
      <c r="E1923" s="8"/>
      <c r="F1923" s="8"/>
      <c r="G1923" s="8"/>
      <c r="H1923" s="8"/>
      <c r="I1923" s="9"/>
      <c r="J1923" s="9"/>
      <c r="K1923" s="18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ht="14.25" customHeight="1">
      <c r="A1924" s="7"/>
      <c r="B1924" s="8"/>
      <c r="C1924" s="8"/>
      <c r="D1924" s="8"/>
      <c r="E1924" s="8"/>
      <c r="F1924" s="8"/>
      <c r="G1924" s="8"/>
      <c r="H1924" s="8"/>
      <c r="I1924" s="9"/>
      <c r="J1924" s="9"/>
      <c r="K1924" s="18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ht="14.25" customHeight="1">
      <c r="A1925" s="7"/>
      <c r="B1925" s="8"/>
      <c r="C1925" s="8"/>
      <c r="D1925" s="8"/>
      <c r="E1925" s="8"/>
      <c r="F1925" s="8"/>
      <c r="G1925" s="8"/>
      <c r="H1925" s="8"/>
      <c r="I1925" s="9"/>
      <c r="J1925" s="9"/>
      <c r="K1925" s="18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ht="14.25" customHeight="1">
      <c r="A1926" s="7"/>
      <c r="B1926" s="8"/>
      <c r="C1926" s="8"/>
      <c r="D1926" s="8"/>
      <c r="E1926" s="8"/>
      <c r="F1926" s="8"/>
      <c r="G1926" s="8"/>
      <c r="H1926" s="8"/>
      <c r="I1926" s="9"/>
      <c r="J1926" s="9"/>
      <c r="K1926" s="18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ht="14.25" customHeight="1">
      <c r="A1927" s="7"/>
      <c r="B1927" s="8"/>
      <c r="C1927" s="8"/>
      <c r="D1927" s="8"/>
      <c r="E1927" s="8"/>
      <c r="F1927" s="8"/>
      <c r="G1927" s="8"/>
      <c r="H1927" s="8"/>
      <c r="I1927" s="9"/>
      <c r="J1927" s="9"/>
      <c r="K1927" s="18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ht="14.25" customHeight="1">
      <c r="A1928" s="7"/>
      <c r="B1928" s="8"/>
      <c r="C1928" s="8"/>
      <c r="D1928" s="8"/>
      <c r="E1928" s="8"/>
      <c r="F1928" s="8"/>
      <c r="G1928" s="8"/>
      <c r="H1928" s="8"/>
      <c r="I1928" s="9"/>
      <c r="J1928" s="9"/>
      <c r="K1928" s="18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ht="14.25" customHeight="1">
      <c r="A1929" s="7"/>
      <c r="B1929" s="8"/>
      <c r="C1929" s="8"/>
      <c r="D1929" s="8"/>
      <c r="E1929" s="8"/>
      <c r="F1929" s="8"/>
      <c r="G1929" s="8"/>
      <c r="H1929" s="8"/>
      <c r="I1929" s="9"/>
      <c r="J1929" s="9"/>
      <c r="K1929" s="18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ht="14.25" customHeight="1">
      <c r="A1930" s="7"/>
      <c r="B1930" s="8"/>
      <c r="C1930" s="8"/>
      <c r="D1930" s="8"/>
      <c r="E1930" s="8"/>
      <c r="F1930" s="8"/>
      <c r="G1930" s="8"/>
      <c r="H1930" s="8"/>
      <c r="I1930" s="9"/>
      <c r="J1930" s="9"/>
      <c r="K1930" s="18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ht="14.25" customHeight="1">
      <c r="A1931" s="7"/>
      <c r="B1931" s="8"/>
      <c r="C1931" s="8"/>
      <c r="D1931" s="8"/>
      <c r="E1931" s="8"/>
      <c r="F1931" s="8"/>
      <c r="G1931" s="8"/>
      <c r="H1931" s="8"/>
      <c r="I1931" s="9"/>
      <c r="J1931" s="9"/>
      <c r="K1931" s="18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ht="14.25" customHeight="1">
      <c r="A1932" s="7"/>
      <c r="B1932" s="8"/>
      <c r="C1932" s="8"/>
      <c r="D1932" s="8"/>
      <c r="E1932" s="8"/>
      <c r="F1932" s="8"/>
      <c r="G1932" s="8"/>
      <c r="H1932" s="8"/>
      <c r="I1932" s="9"/>
      <c r="J1932" s="9"/>
      <c r="K1932" s="18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ht="14.25" customHeight="1">
      <c r="A1933" s="7"/>
      <c r="B1933" s="8"/>
      <c r="C1933" s="8"/>
      <c r="D1933" s="8"/>
      <c r="E1933" s="8"/>
      <c r="F1933" s="8"/>
      <c r="G1933" s="8"/>
      <c r="H1933" s="8"/>
      <c r="I1933" s="9"/>
      <c r="J1933" s="9"/>
      <c r="K1933" s="18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ht="14.25" customHeight="1">
      <c r="A1934" s="7"/>
      <c r="B1934" s="8"/>
      <c r="C1934" s="8"/>
      <c r="D1934" s="8"/>
      <c r="E1934" s="8"/>
      <c r="F1934" s="8"/>
      <c r="G1934" s="8"/>
      <c r="H1934" s="8"/>
      <c r="I1934" s="9"/>
      <c r="J1934" s="9"/>
      <c r="K1934" s="18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ht="14.25" customHeight="1">
      <c r="A1935" s="7"/>
      <c r="B1935" s="8"/>
      <c r="C1935" s="8"/>
      <c r="D1935" s="8"/>
      <c r="E1935" s="8"/>
      <c r="F1935" s="8"/>
      <c r="G1935" s="8"/>
      <c r="H1935" s="8"/>
      <c r="I1935" s="9"/>
      <c r="J1935" s="9"/>
      <c r="K1935" s="18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ht="14.25" customHeight="1">
      <c r="A1936" s="7"/>
      <c r="B1936" s="8"/>
      <c r="C1936" s="8"/>
      <c r="D1936" s="8"/>
      <c r="E1936" s="8"/>
      <c r="F1936" s="8"/>
      <c r="G1936" s="8"/>
      <c r="H1936" s="8"/>
      <c r="I1936" s="9"/>
      <c r="J1936" s="9"/>
      <c r="K1936" s="18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ht="14.25" customHeight="1">
      <c r="A1937" s="7"/>
      <c r="B1937" s="8"/>
      <c r="C1937" s="8"/>
      <c r="D1937" s="8"/>
      <c r="E1937" s="8"/>
      <c r="F1937" s="8"/>
      <c r="G1937" s="8"/>
      <c r="H1937" s="8"/>
      <c r="I1937" s="9"/>
      <c r="J1937" s="9"/>
      <c r="K1937" s="18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ht="14.25" customHeight="1">
      <c r="A1938" s="7"/>
      <c r="B1938" s="8"/>
      <c r="C1938" s="8"/>
      <c r="D1938" s="8"/>
      <c r="E1938" s="8"/>
      <c r="F1938" s="8"/>
      <c r="G1938" s="8"/>
      <c r="H1938" s="8"/>
      <c r="I1938" s="9"/>
      <c r="J1938" s="9"/>
      <c r="K1938" s="18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ht="14.25" customHeight="1">
      <c r="A1939" s="7"/>
      <c r="B1939" s="8"/>
      <c r="C1939" s="8"/>
      <c r="D1939" s="8"/>
      <c r="E1939" s="8"/>
      <c r="F1939" s="8"/>
      <c r="G1939" s="8"/>
      <c r="H1939" s="8"/>
      <c r="I1939" s="9"/>
      <c r="J1939" s="9"/>
      <c r="K1939" s="18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ht="14.25" customHeight="1">
      <c r="A1940" s="7"/>
      <c r="B1940" s="8"/>
      <c r="C1940" s="8"/>
      <c r="D1940" s="8"/>
      <c r="E1940" s="8"/>
      <c r="F1940" s="8"/>
      <c r="G1940" s="8"/>
      <c r="H1940" s="8"/>
      <c r="I1940" s="9"/>
      <c r="J1940" s="9"/>
      <c r="K1940" s="18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ht="14.25" customHeight="1">
      <c r="A1941" s="7"/>
      <c r="B1941" s="8"/>
      <c r="C1941" s="8"/>
      <c r="D1941" s="8"/>
      <c r="E1941" s="8"/>
      <c r="F1941" s="8"/>
      <c r="G1941" s="8"/>
      <c r="H1941" s="8"/>
      <c r="I1941" s="9"/>
      <c r="J1941" s="9"/>
      <c r="K1941" s="18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ht="14.25" customHeight="1">
      <c r="A1942" s="7"/>
      <c r="B1942" s="8"/>
      <c r="C1942" s="8"/>
      <c r="D1942" s="8"/>
      <c r="E1942" s="8"/>
      <c r="F1942" s="8"/>
      <c r="G1942" s="8"/>
      <c r="H1942" s="8"/>
      <c r="I1942" s="9"/>
      <c r="J1942" s="9"/>
      <c r="K1942" s="18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ht="14.25" customHeight="1">
      <c r="A1943" s="7"/>
      <c r="B1943" s="8"/>
      <c r="C1943" s="8"/>
      <c r="D1943" s="8"/>
      <c r="E1943" s="8"/>
      <c r="F1943" s="8"/>
      <c r="G1943" s="8"/>
      <c r="H1943" s="8"/>
      <c r="I1943" s="9"/>
      <c r="J1943" s="9"/>
      <c r="K1943" s="18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ht="14.25" customHeight="1">
      <c r="A1944" s="7"/>
      <c r="B1944" s="8"/>
      <c r="C1944" s="8"/>
      <c r="D1944" s="8"/>
      <c r="E1944" s="8"/>
      <c r="F1944" s="8"/>
      <c r="G1944" s="8"/>
      <c r="H1944" s="8"/>
      <c r="I1944" s="9"/>
      <c r="J1944" s="9"/>
      <c r="K1944" s="18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ht="14.25" customHeight="1">
      <c r="A1945" s="7"/>
      <c r="B1945" s="8"/>
      <c r="C1945" s="8"/>
      <c r="D1945" s="8"/>
      <c r="E1945" s="8"/>
      <c r="F1945" s="8"/>
      <c r="G1945" s="8"/>
      <c r="H1945" s="8"/>
      <c r="I1945" s="9"/>
      <c r="J1945" s="9"/>
      <c r="K1945" s="18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ht="14.25" customHeight="1">
      <c r="A1946" s="7"/>
      <c r="B1946" s="8"/>
      <c r="C1946" s="8"/>
      <c r="D1946" s="8"/>
      <c r="E1946" s="8"/>
      <c r="F1946" s="8"/>
      <c r="G1946" s="8"/>
      <c r="H1946" s="8"/>
      <c r="I1946" s="9"/>
      <c r="J1946" s="9"/>
      <c r="K1946" s="18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ht="14.25" customHeight="1">
      <c r="A1947" s="7"/>
      <c r="B1947" s="8"/>
      <c r="C1947" s="8"/>
      <c r="D1947" s="8"/>
      <c r="E1947" s="8"/>
      <c r="F1947" s="8"/>
      <c r="G1947" s="8"/>
      <c r="H1947" s="8"/>
      <c r="I1947" s="9"/>
      <c r="J1947" s="9"/>
      <c r="K1947" s="18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ht="14.25" customHeight="1">
      <c r="A1948" s="7"/>
      <c r="B1948" s="8"/>
      <c r="C1948" s="8"/>
      <c r="D1948" s="8"/>
      <c r="E1948" s="8"/>
      <c r="F1948" s="8"/>
      <c r="G1948" s="8"/>
      <c r="H1948" s="8"/>
      <c r="I1948" s="9"/>
      <c r="J1948" s="9"/>
      <c r="K1948" s="18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ht="14.25" customHeight="1">
      <c r="A1949" s="7"/>
      <c r="B1949" s="8"/>
      <c r="C1949" s="8"/>
      <c r="D1949" s="8"/>
      <c r="E1949" s="8"/>
      <c r="F1949" s="8"/>
      <c r="G1949" s="8"/>
      <c r="H1949" s="8"/>
      <c r="I1949" s="9"/>
      <c r="J1949" s="9"/>
      <c r="K1949" s="18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ht="14.25" customHeight="1">
      <c r="A1950" s="7"/>
      <c r="B1950" s="8"/>
      <c r="C1950" s="8"/>
      <c r="D1950" s="8"/>
      <c r="E1950" s="8"/>
      <c r="F1950" s="8"/>
      <c r="G1950" s="8"/>
      <c r="H1950" s="8"/>
      <c r="I1950" s="9"/>
      <c r="J1950" s="9"/>
      <c r="K1950" s="18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ht="14.25" customHeight="1">
      <c r="A1951" s="7"/>
      <c r="B1951" s="8"/>
      <c r="C1951" s="8"/>
      <c r="D1951" s="8"/>
      <c r="E1951" s="8"/>
      <c r="F1951" s="8"/>
      <c r="G1951" s="8"/>
      <c r="H1951" s="8"/>
      <c r="I1951" s="9"/>
      <c r="J1951" s="9"/>
      <c r="K1951" s="18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ht="14.25" customHeight="1">
      <c r="A1952" s="7"/>
      <c r="B1952" s="8"/>
      <c r="C1952" s="8"/>
      <c r="D1952" s="8"/>
      <c r="E1952" s="8"/>
      <c r="F1952" s="8"/>
      <c r="G1952" s="8"/>
      <c r="H1952" s="8"/>
      <c r="I1952" s="9"/>
      <c r="J1952" s="9"/>
      <c r="K1952" s="18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ht="14.25" customHeight="1">
      <c r="A1953" s="7"/>
      <c r="B1953" s="8"/>
      <c r="C1953" s="8"/>
      <c r="D1953" s="8"/>
      <c r="E1953" s="8"/>
      <c r="F1953" s="8"/>
      <c r="G1953" s="8"/>
      <c r="H1953" s="8"/>
      <c r="I1953" s="9"/>
      <c r="J1953" s="9"/>
      <c r="K1953" s="18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ht="14.25" customHeight="1">
      <c r="A1954" s="7"/>
      <c r="B1954" s="8"/>
      <c r="C1954" s="8"/>
      <c r="D1954" s="8"/>
      <c r="E1954" s="8"/>
      <c r="F1954" s="8"/>
      <c r="G1954" s="8"/>
      <c r="H1954" s="8"/>
      <c r="I1954" s="9"/>
      <c r="J1954" s="9"/>
      <c r="K1954" s="18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ht="14.25" customHeight="1">
      <c r="A1955" s="7"/>
      <c r="B1955" s="8"/>
      <c r="C1955" s="8"/>
      <c r="D1955" s="8"/>
      <c r="E1955" s="8"/>
      <c r="F1955" s="8"/>
      <c r="G1955" s="8"/>
      <c r="H1955" s="8"/>
      <c r="I1955" s="9"/>
      <c r="J1955" s="9"/>
      <c r="K1955" s="18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ht="14.25" customHeight="1">
      <c r="A1956" s="7"/>
      <c r="B1956" s="8"/>
      <c r="C1956" s="8"/>
      <c r="D1956" s="8"/>
      <c r="E1956" s="8"/>
      <c r="F1956" s="8"/>
      <c r="G1956" s="8"/>
      <c r="H1956" s="8"/>
      <c r="I1956" s="9"/>
      <c r="J1956" s="9"/>
      <c r="K1956" s="18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ht="14.25" customHeight="1">
      <c r="A1957" s="7"/>
      <c r="B1957" s="8"/>
      <c r="C1957" s="8"/>
      <c r="D1957" s="8"/>
      <c r="E1957" s="8"/>
      <c r="F1957" s="8"/>
      <c r="G1957" s="8"/>
      <c r="H1957" s="8"/>
      <c r="I1957" s="9"/>
      <c r="J1957" s="9"/>
      <c r="K1957" s="18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ht="14.25" customHeight="1">
      <c r="A1958" s="7"/>
      <c r="B1958" s="8"/>
      <c r="C1958" s="8"/>
      <c r="D1958" s="8"/>
      <c r="E1958" s="8"/>
      <c r="F1958" s="8"/>
      <c r="G1958" s="8"/>
      <c r="H1958" s="8"/>
      <c r="I1958" s="9"/>
      <c r="J1958" s="9"/>
      <c r="K1958" s="18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ht="14.25" customHeight="1">
      <c r="A1959" s="7"/>
      <c r="B1959" s="8"/>
      <c r="C1959" s="8"/>
      <c r="D1959" s="8"/>
      <c r="E1959" s="8"/>
      <c r="F1959" s="8"/>
      <c r="G1959" s="8"/>
      <c r="H1959" s="8"/>
      <c r="I1959" s="9"/>
      <c r="J1959" s="9"/>
      <c r="K1959" s="18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ht="14.25" customHeight="1">
      <c r="A1960" s="7"/>
      <c r="B1960" s="8"/>
      <c r="C1960" s="8"/>
      <c r="D1960" s="8"/>
      <c r="E1960" s="8"/>
      <c r="F1960" s="8"/>
      <c r="G1960" s="8"/>
      <c r="H1960" s="8"/>
      <c r="I1960" s="9"/>
      <c r="J1960" s="9"/>
      <c r="K1960" s="18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ht="14.25" customHeight="1">
      <c r="A1961" s="7"/>
      <c r="B1961" s="8"/>
      <c r="C1961" s="8"/>
      <c r="D1961" s="8"/>
      <c r="E1961" s="8"/>
      <c r="F1961" s="8"/>
      <c r="G1961" s="8"/>
      <c r="H1961" s="8"/>
      <c r="I1961" s="9"/>
      <c r="J1961" s="9"/>
      <c r="K1961" s="18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ht="14.25" customHeight="1">
      <c r="A1962" s="7"/>
      <c r="B1962" s="8"/>
      <c r="C1962" s="8"/>
      <c r="D1962" s="8"/>
      <c r="E1962" s="8"/>
      <c r="F1962" s="8"/>
      <c r="G1962" s="8"/>
      <c r="H1962" s="8"/>
      <c r="I1962" s="9"/>
      <c r="J1962" s="9"/>
      <c r="K1962" s="18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ht="14.25" customHeight="1">
      <c r="A1963" s="7"/>
      <c r="B1963" s="8"/>
      <c r="C1963" s="8"/>
      <c r="D1963" s="8"/>
      <c r="E1963" s="8"/>
      <c r="F1963" s="8"/>
      <c r="G1963" s="8"/>
      <c r="H1963" s="8"/>
      <c r="I1963" s="9"/>
      <c r="J1963" s="9"/>
      <c r="K1963" s="18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ht="14.25" customHeight="1">
      <c r="A1964" s="7"/>
      <c r="B1964" s="8"/>
      <c r="C1964" s="8"/>
      <c r="D1964" s="8"/>
      <c r="E1964" s="8"/>
      <c r="F1964" s="8"/>
      <c r="G1964" s="8"/>
      <c r="H1964" s="8"/>
      <c r="I1964" s="9"/>
      <c r="J1964" s="9"/>
      <c r="K1964" s="18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ht="14.25" customHeight="1">
      <c r="A1965" s="7"/>
      <c r="B1965" s="8"/>
      <c r="C1965" s="8"/>
      <c r="D1965" s="8"/>
      <c r="E1965" s="8"/>
      <c r="F1965" s="8"/>
      <c r="G1965" s="8"/>
      <c r="H1965" s="8"/>
      <c r="I1965" s="9"/>
      <c r="J1965" s="9"/>
      <c r="K1965" s="18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ht="14.25" customHeight="1">
      <c r="A1966" s="7"/>
      <c r="B1966" s="8"/>
      <c r="C1966" s="8"/>
      <c r="D1966" s="8"/>
      <c r="E1966" s="8"/>
      <c r="F1966" s="8"/>
      <c r="G1966" s="8"/>
      <c r="H1966" s="8"/>
      <c r="I1966" s="9"/>
      <c r="J1966" s="9"/>
      <c r="K1966" s="18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ht="14.25" customHeight="1">
      <c r="A1967" s="7"/>
      <c r="B1967" s="8"/>
      <c r="C1967" s="8"/>
      <c r="D1967" s="8"/>
      <c r="E1967" s="8"/>
      <c r="F1967" s="8"/>
      <c r="G1967" s="8"/>
      <c r="H1967" s="8"/>
      <c r="I1967" s="9"/>
      <c r="J1967" s="9"/>
      <c r="K1967" s="18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ht="14.25" customHeight="1">
      <c r="A1968" s="7"/>
      <c r="B1968" s="8"/>
      <c r="C1968" s="8"/>
      <c r="D1968" s="8"/>
      <c r="E1968" s="8"/>
      <c r="F1968" s="8"/>
      <c r="G1968" s="8"/>
      <c r="H1968" s="8"/>
      <c r="I1968" s="9"/>
      <c r="J1968" s="9"/>
      <c r="K1968" s="18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ht="14.25" customHeight="1">
      <c r="A1969" s="7"/>
      <c r="B1969" s="8"/>
      <c r="C1969" s="8"/>
      <c r="D1969" s="8"/>
      <c r="E1969" s="8"/>
      <c r="F1969" s="8"/>
      <c r="G1969" s="8"/>
      <c r="H1969" s="8"/>
      <c r="I1969" s="9"/>
      <c r="J1969" s="9"/>
      <c r="K1969" s="18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ht="14.25" customHeight="1">
      <c r="A1970" s="7"/>
      <c r="B1970" s="8"/>
      <c r="C1970" s="8"/>
      <c r="D1970" s="8"/>
      <c r="E1970" s="8"/>
      <c r="F1970" s="8"/>
      <c r="G1970" s="8"/>
      <c r="H1970" s="8"/>
      <c r="I1970" s="9"/>
      <c r="J1970" s="9"/>
      <c r="K1970" s="18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ht="14.25" customHeight="1">
      <c r="A1971" s="7"/>
      <c r="B1971" s="8"/>
      <c r="C1971" s="8"/>
      <c r="D1971" s="8"/>
      <c r="E1971" s="8"/>
      <c r="F1971" s="8"/>
      <c r="G1971" s="8"/>
      <c r="H1971" s="8"/>
      <c r="I1971" s="9"/>
      <c r="J1971" s="9"/>
      <c r="K1971" s="18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ht="14.25" customHeight="1">
      <c r="A1972" s="7"/>
      <c r="B1972" s="8"/>
      <c r="C1972" s="8"/>
      <c r="D1972" s="8"/>
      <c r="E1972" s="8"/>
      <c r="F1972" s="8"/>
      <c r="G1972" s="8"/>
      <c r="H1972" s="8"/>
      <c r="I1972" s="9"/>
      <c r="J1972" s="9"/>
      <c r="K1972" s="18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ht="14.25" customHeight="1">
      <c r="A1973" s="7"/>
      <c r="B1973" s="8"/>
      <c r="C1973" s="8"/>
      <c r="D1973" s="8"/>
      <c r="E1973" s="8"/>
      <c r="F1973" s="8"/>
      <c r="G1973" s="8"/>
      <c r="H1973" s="8"/>
      <c r="I1973" s="9"/>
      <c r="J1973" s="9"/>
      <c r="K1973" s="18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ht="14.25" customHeight="1">
      <c r="A1974" s="7"/>
      <c r="B1974" s="8"/>
      <c r="C1974" s="8"/>
      <c r="D1974" s="8"/>
      <c r="E1974" s="8"/>
      <c r="F1974" s="8"/>
      <c r="G1974" s="8"/>
      <c r="H1974" s="8"/>
      <c r="I1974" s="9"/>
      <c r="J1974" s="9"/>
      <c r="K1974" s="18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ht="14.25" customHeight="1">
      <c r="A1975" s="7"/>
      <c r="B1975" s="8"/>
      <c r="C1975" s="8"/>
      <c r="D1975" s="8"/>
      <c r="E1975" s="8"/>
      <c r="F1975" s="8"/>
      <c r="G1975" s="8"/>
      <c r="H1975" s="8"/>
      <c r="I1975" s="9"/>
      <c r="J1975" s="9"/>
      <c r="K1975" s="18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ht="14.25" customHeight="1">
      <c r="A1976" s="7"/>
      <c r="B1976" s="8"/>
      <c r="C1976" s="8"/>
      <c r="D1976" s="8"/>
      <c r="E1976" s="8"/>
      <c r="F1976" s="8"/>
      <c r="G1976" s="8"/>
      <c r="H1976" s="8"/>
      <c r="I1976" s="9"/>
      <c r="J1976" s="9"/>
      <c r="K1976" s="18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ht="14.25" customHeight="1">
      <c r="A1977" s="7"/>
      <c r="B1977" s="8"/>
      <c r="C1977" s="8"/>
      <c r="D1977" s="8"/>
      <c r="E1977" s="8"/>
      <c r="F1977" s="8"/>
      <c r="G1977" s="8"/>
      <c r="H1977" s="8"/>
      <c r="I1977" s="9"/>
      <c r="J1977" s="9"/>
      <c r="K1977" s="18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ht="14.25" customHeight="1">
      <c r="A1978" s="7"/>
      <c r="B1978" s="8"/>
      <c r="C1978" s="8"/>
      <c r="D1978" s="8"/>
      <c r="E1978" s="8"/>
      <c r="F1978" s="8"/>
      <c r="G1978" s="8"/>
      <c r="H1978" s="8"/>
      <c r="I1978" s="9"/>
      <c r="J1978" s="9"/>
      <c r="K1978" s="18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ht="14.25" customHeight="1">
      <c r="A1979" s="7"/>
      <c r="B1979" s="8"/>
      <c r="C1979" s="8"/>
      <c r="D1979" s="8"/>
      <c r="E1979" s="8"/>
      <c r="F1979" s="8"/>
      <c r="G1979" s="8"/>
      <c r="H1979" s="8"/>
      <c r="I1979" s="9"/>
      <c r="J1979" s="9"/>
      <c r="K1979" s="18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ht="14.25" customHeight="1">
      <c r="A1980" s="7"/>
      <c r="B1980" s="8"/>
      <c r="C1980" s="8"/>
      <c r="D1980" s="8"/>
      <c r="E1980" s="8"/>
      <c r="F1980" s="8"/>
      <c r="G1980" s="8"/>
      <c r="H1980" s="8"/>
      <c r="I1980" s="9"/>
      <c r="J1980" s="9"/>
      <c r="K1980" s="18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ht="14.25" customHeight="1">
      <c r="A1981" s="7"/>
      <c r="B1981" s="8"/>
      <c r="C1981" s="8"/>
      <c r="D1981" s="8"/>
      <c r="E1981" s="8"/>
      <c r="F1981" s="8"/>
      <c r="G1981" s="8"/>
      <c r="H1981" s="8"/>
      <c r="I1981" s="9"/>
      <c r="J1981" s="9"/>
      <c r="K1981" s="18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ht="14.25" customHeight="1">
      <c r="A1982" s="7"/>
      <c r="B1982" s="8"/>
      <c r="C1982" s="8"/>
      <c r="D1982" s="8"/>
      <c r="E1982" s="8"/>
      <c r="F1982" s="8"/>
      <c r="G1982" s="8"/>
      <c r="H1982" s="8"/>
      <c r="I1982" s="9"/>
      <c r="J1982" s="9"/>
      <c r="K1982" s="18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ht="14.25" customHeight="1">
      <c r="A1983" s="7"/>
      <c r="B1983" s="8"/>
      <c r="C1983" s="8"/>
      <c r="D1983" s="8"/>
      <c r="E1983" s="8"/>
      <c r="F1983" s="8"/>
      <c r="G1983" s="8"/>
      <c r="H1983" s="8"/>
      <c r="I1983" s="9"/>
      <c r="J1983" s="9"/>
      <c r="K1983" s="18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ht="14.25" customHeight="1">
      <c r="A1984" s="7"/>
      <c r="B1984" s="8"/>
      <c r="C1984" s="8"/>
      <c r="D1984" s="8"/>
      <c r="E1984" s="8"/>
      <c r="F1984" s="8"/>
      <c r="G1984" s="8"/>
      <c r="H1984" s="8"/>
      <c r="I1984" s="9"/>
      <c r="J1984" s="9"/>
      <c r="K1984" s="18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ht="14.25" customHeight="1">
      <c r="A1985" s="7"/>
      <c r="B1985" s="8"/>
      <c r="C1985" s="8"/>
      <c r="D1985" s="8"/>
      <c r="E1985" s="8"/>
      <c r="F1985" s="8"/>
      <c r="G1985" s="8"/>
      <c r="H1985" s="8"/>
      <c r="I1985" s="9"/>
      <c r="J1985" s="9"/>
      <c r="K1985" s="18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ht="14.25" customHeight="1">
      <c r="A1986" s="7"/>
      <c r="B1986" s="8"/>
      <c r="C1986" s="8"/>
      <c r="D1986" s="8"/>
      <c r="E1986" s="8"/>
      <c r="F1986" s="8"/>
      <c r="G1986" s="8"/>
      <c r="H1986" s="8"/>
      <c r="I1986" s="9"/>
      <c r="J1986" s="9"/>
      <c r="K1986" s="18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ht="14.25" customHeight="1">
      <c r="A1987" s="7"/>
      <c r="B1987" s="8"/>
      <c r="C1987" s="8"/>
      <c r="D1987" s="8"/>
      <c r="E1987" s="8"/>
      <c r="F1987" s="8"/>
      <c r="G1987" s="8"/>
      <c r="H1987" s="8"/>
      <c r="I1987" s="9"/>
      <c r="J1987" s="9"/>
      <c r="K1987" s="18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ht="14.25" customHeight="1">
      <c r="A1988" s="7"/>
      <c r="B1988" s="8"/>
      <c r="C1988" s="8"/>
      <c r="D1988" s="8"/>
      <c r="E1988" s="8"/>
      <c r="F1988" s="8"/>
      <c r="G1988" s="8"/>
      <c r="H1988" s="8"/>
      <c r="I1988" s="9"/>
      <c r="J1988" s="9"/>
      <c r="K1988" s="18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ht="14.25" customHeight="1">
      <c r="A1989" s="7"/>
      <c r="B1989" s="8"/>
      <c r="C1989" s="8"/>
      <c r="D1989" s="8"/>
      <c r="E1989" s="8"/>
      <c r="F1989" s="8"/>
      <c r="G1989" s="8"/>
      <c r="H1989" s="8"/>
      <c r="I1989" s="9"/>
      <c r="J1989" s="9"/>
      <c r="K1989" s="18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ht="14.25" customHeight="1">
      <c r="A1990" s="7"/>
      <c r="B1990" s="8"/>
      <c r="C1990" s="8"/>
      <c r="D1990" s="8"/>
      <c r="E1990" s="8"/>
      <c r="F1990" s="8"/>
      <c r="G1990" s="8"/>
      <c r="H1990" s="8"/>
      <c r="I1990" s="9"/>
      <c r="J1990" s="9"/>
      <c r="K1990" s="18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ht="14.25" customHeight="1">
      <c r="A1991" s="7"/>
      <c r="B1991" s="8"/>
      <c r="C1991" s="8"/>
      <c r="D1991" s="8"/>
      <c r="E1991" s="8"/>
      <c r="F1991" s="8"/>
      <c r="G1991" s="8"/>
      <c r="H1991" s="8"/>
      <c r="I1991" s="9"/>
      <c r="J1991" s="9"/>
      <c r="K1991" s="18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ht="14.25" customHeight="1">
      <c r="A1992" s="7"/>
      <c r="B1992" s="8"/>
      <c r="C1992" s="8"/>
      <c r="D1992" s="8"/>
      <c r="E1992" s="8"/>
      <c r="F1992" s="8"/>
      <c r="G1992" s="8"/>
      <c r="H1992" s="8"/>
      <c r="I1992" s="9"/>
      <c r="J1992" s="9"/>
      <c r="K1992" s="18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ht="14.25" customHeight="1">
      <c r="A1993" s="7"/>
      <c r="B1993" s="8"/>
      <c r="C1993" s="8"/>
      <c r="D1993" s="8"/>
      <c r="E1993" s="8"/>
      <c r="F1993" s="8"/>
      <c r="G1993" s="8"/>
      <c r="H1993" s="8"/>
      <c r="I1993" s="9"/>
      <c r="J1993" s="9"/>
      <c r="K1993" s="18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ht="14.25" customHeight="1">
      <c r="A1994" s="7"/>
      <c r="B1994" s="8"/>
      <c r="C1994" s="8"/>
      <c r="D1994" s="8"/>
      <c r="E1994" s="8"/>
      <c r="F1994" s="8"/>
      <c r="G1994" s="8"/>
      <c r="H1994" s="8"/>
      <c r="I1994" s="9"/>
      <c r="J1994" s="9"/>
      <c r="K1994" s="18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ht="14.25" customHeight="1">
      <c r="A1995" s="7"/>
      <c r="B1995" s="8"/>
      <c r="C1995" s="8"/>
      <c r="D1995" s="8"/>
      <c r="E1995" s="8"/>
      <c r="F1995" s="8"/>
      <c r="G1995" s="8"/>
      <c r="H1995" s="8"/>
      <c r="I1995" s="9"/>
      <c r="J1995" s="9"/>
      <c r="K1995" s="18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ht="14.25" customHeight="1">
      <c r="A1996" s="7"/>
      <c r="B1996" s="8"/>
      <c r="C1996" s="8"/>
      <c r="D1996" s="8"/>
      <c r="E1996" s="8"/>
      <c r="F1996" s="8"/>
      <c r="G1996" s="8"/>
      <c r="H1996" s="8"/>
      <c r="I1996" s="9"/>
      <c r="J1996" s="9"/>
      <c r="K1996" s="18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ht="14.25" customHeight="1">
      <c r="A1997" s="7"/>
      <c r="B1997" s="8"/>
      <c r="C1997" s="8"/>
      <c r="D1997" s="8"/>
      <c r="E1997" s="8"/>
      <c r="F1997" s="8"/>
      <c r="G1997" s="8"/>
      <c r="H1997" s="8"/>
      <c r="I1997" s="9"/>
      <c r="J1997" s="9"/>
      <c r="K1997" s="18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ht="14.25" customHeight="1">
      <c r="A1998" s="7"/>
      <c r="B1998" s="8"/>
      <c r="C1998" s="8"/>
      <c r="D1998" s="8"/>
      <c r="E1998" s="8"/>
      <c r="F1998" s="8"/>
      <c r="G1998" s="8"/>
      <c r="H1998" s="8"/>
      <c r="I1998" s="9"/>
      <c r="J1998" s="9"/>
      <c r="K1998" s="18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ht="14.25" customHeight="1">
      <c r="A1999" s="7"/>
      <c r="B1999" s="8"/>
      <c r="C1999" s="8"/>
      <c r="D1999" s="8"/>
      <c r="E1999" s="8"/>
      <c r="F1999" s="8"/>
      <c r="G1999" s="8"/>
      <c r="H1999" s="8"/>
      <c r="I1999" s="9"/>
      <c r="J1999" s="9"/>
      <c r="K1999" s="18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ht="14.25" customHeight="1">
      <c r="A2000" s="7"/>
      <c r="B2000" s="8"/>
      <c r="C2000" s="8"/>
      <c r="D2000" s="8"/>
      <c r="E2000" s="8"/>
      <c r="F2000" s="8"/>
      <c r="G2000" s="8"/>
      <c r="H2000" s="8"/>
      <c r="I2000" s="9"/>
      <c r="J2000" s="9"/>
      <c r="K2000" s="18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ht="14.25" customHeight="1">
      <c r="A2001" s="7"/>
      <c r="B2001" s="8"/>
      <c r="C2001" s="8"/>
      <c r="D2001" s="8"/>
      <c r="E2001" s="8"/>
      <c r="F2001" s="8"/>
      <c r="G2001" s="8"/>
      <c r="H2001" s="8"/>
      <c r="I2001" s="9"/>
      <c r="J2001" s="9"/>
      <c r="K2001" s="18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ht="14.25" customHeight="1">
      <c r="A2002" s="7"/>
      <c r="B2002" s="8"/>
      <c r="C2002" s="8"/>
      <c r="D2002" s="8"/>
      <c r="E2002" s="8"/>
      <c r="F2002" s="8"/>
      <c r="G2002" s="8"/>
      <c r="H2002" s="8"/>
      <c r="I2002" s="9"/>
      <c r="J2002" s="9"/>
      <c r="K2002" s="18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ht="14.25" customHeight="1">
      <c r="A2003" s="7"/>
      <c r="B2003" s="8"/>
      <c r="C2003" s="8"/>
      <c r="D2003" s="8"/>
      <c r="E2003" s="8"/>
      <c r="F2003" s="8"/>
      <c r="G2003" s="8"/>
      <c r="H2003" s="8"/>
      <c r="I2003" s="9"/>
      <c r="J2003" s="9"/>
      <c r="K2003" s="18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ht="14.25" customHeight="1">
      <c r="A2004" s="7"/>
      <c r="B2004" s="8"/>
      <c r="C2004" s="8"/>
      <c r="D2004" s="8"/>
      <c r="E2004" s="8"/>
      <c r="F2004" s="8"/>
      <c r="G2004" s="8"/>
      <c r="H2004" s="8"/>
      <c r="I2004" s="9"/>
      <c r="J2004" s="9"/>
      <c r="K2004" s="18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ht="14.25" customHeight="1">
      <c r="A2005" s="7"/>
      <c r="B2005" s="8"/>
      <c r="C2005" s="8"/>
      <c r="D2005" s="8"/>
      <c r="E2005" s="8"/>
      <c r="F2005" s="8"/>
      <c r="G2005" s="8"/>
      <c r="H2005" s="8"/>
      <c r="I2005" s="9"/>
      <c r="J2005" s="9"/>
      <c r="K2005" s="18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ht="14.25" customHeight="1">
      <c r="A2006" s="7"/>
      <c r="B2006" s="8"/>
      <c r="C2006" s="8"/>
      <c r="D2006" s="8"/>
      <c r="E2006" s="8"/>
      <c r="F2006" s="8"/>
      <c r="G2006" s="8"/>
      <c r="H2006" s="8"/>
      <c r="I2006" s="9"/>
      <c r="J2006" s="9"/>
      <c r="K2006" s="18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ht="14.25" customHeight="1">
      <c r="A2007" s="7"/>
      <c r="B2007" s="8"/>
      <c r="C2007" s="8"/>
      <c r="D2007" s="8"/>
      <c r="E2007" s="8"/>
      <c r="F2007" s="8"/>
      <c r="G2007" s="8"/>
      <c r="H2007" s="8"/>
      <c r="I2007" s="9"/>
      <c r="J2007" s="9"/>
      <c r="K2007" s="18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ht="14.25" customHeight="1">
      <c r="A2008" s="7"/>
      <c r="B2008" s="8"/>
      <c r="C2008" s="8"/>
      <c r="D2008" s="8"/>
      <c r="E2008" s="8"/>
      <c r="F2008" s="8"/>
      <c r="G2008" s="8"/>
      <c r="H2008" s="8"/>
      <c r="I2008" s="9"/>
      <c r="J2008" s="9"/>
      <c r="K2008" s="18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ht="14.25" customHeight="1">
      <c r="A2009" s="7"/>
      <c r="B2009" s="8"/>
      <c r="C2009" s="8"/>
      <c r="D2009" s="8"/>
      <c r="E2009" s="8"/>
      <c r="F2009" s="8"/>
      <c r="G2009" s="8"/>
      <c r="H2009" s="8"/>
      <c r="I2009" s="9"/>
      <c r="J2009" s="9"/>
      <c r="K2009" s="18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ht="14.25" customHeight="1">
      <c r="A2010" s="7"/>
      <c r="B2010" s="8"/>
      <c r="C2010" s="8"/>
      <c r="D2010" s="8"/>
      <c r="E2010" s="8"/>
      <c r="F2010" s="8"/>
      <c r="G2010" s="8"/>
      <c r="H2010" s="8"/>
      <c r="I2010" s="9"/>
      <c r="J2010" s="9"/>
      <c r="K2010" s="18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ht="14.25" customHeight="1">
      <c r="A2011" s="7"/>
      <c r="B2011" s="8"/>
      <c r="C2011" s="8"/>
      <c r="D2011" s="8"/>
      <c r="E2011" s="8"/>
      <c r="F2011" s="8"/>
      <c r="G2011" s="8"/>
      <c r="H2011" s="8"/>
      <c r="I2011" s="9"/>
      <c r="J2011" s="9"/>
      <c r="K2011" s="18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ht="14.25" customHeight="1">
      <c r="A2012" s="7"/>
      <c r="B2012" s="8"/>
      <c r="C2012" s="8"/>
      <c r="D2012" s="8"/>
      <c r="E2012" s="8"/>
      <c r="F2012" s="8"/>
      <c r="G2012" s="8"/>
      <c r="H2012" s="8"/>
      <c r="I2012" s="9"/>
      <c r="J2012" s="9"/>
      <c r="K2012" s="18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ht="14.25" customHeight="1">
      <c r="A2013" s="7"/>
      <c r="B2013" s="8"/>
      <c r="C2013" s="8"/>
      <c r="D2013" s="8"/>
      <c r="E2013" s="8"/>
      <c r="F2013" s="8"/>
      <c r="G2013" s="8"/>
      <c r="H2013" s="8"/>
      <c r="I2013" s="9"/>
      <c r="J2013" s="9"/>
      <c r="K2013" s="18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ht="14.25" customHeight="1">
      <c r="A2014" s="7"/>
      <c r="B2014" s="8"/>
      <c r="C2014" s="8"/>
      <c r="D2014" s="8"/>
      <c r="E2014" s="8"/>
      <c r="F2014" s="8"/>
      <c r="G2014" s="8"/>
      <c r="H2014" s="8"/>
      <c r="I2014" s="9"/>
      <c r="J2014" s="9"/>
      <c r="K2014" s="18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ht="14.25" customHeight="1">
      <c r="A2015" s="7"/>
      <c r="B2015" s="8"/>
      <c r="C2015" s="8"/>
      <c r="D2015" s="8"/>
      <c r="E2015" s="8"/>
      <c r="F2015" s="8"/>
      <c r="G2015" s="8"/>
      <c r="H2015" s="8"/>
      <c r="I2015" s="9"/>
      <c r="J2015" s="9"/>
      <c r="K2015" s="18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ht="14.25" customHeight="1">
      <c r="A2016" s="7"/>
      <c r="B2016" s="8"/>
      <c r="C2016" s="8"/>
      <c r="D2016" s="8"/>
      <c r="E2016" s="8"/>
      <c r="F2016" s="8"/>
      <c r="G2016" s="8"/>
      <c r="H2016" s="8"/>
      <c r="I2016" s="9"/>
      <c r="J2016" s="9"/>
      <c r="K2016" s="18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ht="14.25" customHeight="1">
      <c r="A2017" s="7"/>
      <c r="B2017" s="8"/>
      <c r="C2017" s="8"/>
      <c r="D2017" s="8"/>
      <c r="E2017" s="8"/>
      <c r="F2017" s="8"/>
      <c r="G2017" s="8"/>
      <c r="H2017" s="8"/>
      <c r="I2017" s="9"/>
      <c r="J2017" s="9"/>
      <c r="K2017" s="18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ht="14.25" customHeight="1">
      <c r="A2018" s="7"/>
      <c r="B2018" s="8"/>
      <c r="C2018" s="8"/>
      <c r="D2018" s="8"/>
      <c r="E2018" s="8"/>
      <c r="F2018" s="8"/>
      <c r="G2018" s="8"/>
      <c r="H2018" s="8"/>
      <c r="I2018" s="9"/>
      <c r="J2018" s="9"/>
      <c r="K2018" s="18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ht="14.25" customHeight="1">
      <c r="A2019" s="7"/>
      <c r="B2019" s="8"/>
      <c r="C2019" s="8"/>
      <c r="D2019" s="8"/>
      <c r="E2019" s="8"/>
      <c r="F2019" s="8"/>
      <c r="G2019" s="8"/>
      <c r="H2019" s="8"/>
      <c r="I2019" s="9"/>
      <c r="J2019" s="9"/>
      <c r="K2019" s="18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ht="14.25" customHeight="1">
      <c r="A2020" s="7"/>
      <c r="B2020" s="8"/>
      <c r="C2020" s="8"/>
      <c r="D2020" s="8"/>
      <c r="E2020" s="8"/>
      <c r="F2020" s="8"/>
      <c r="G2020" s="8"/>
      <c r="H2020" s="8"/>
      <c r="I2020" s="9"/>
      <c r="J2020" s="9"/>
      <c r="K2020" s="18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ht="14.25" customHeight="1">
      <c r="A2021" s="7"/>
      <c r="B2021" s="8"/>
      <c r="C2021" s="8"/>
      <c r="D2021" s="8"/>
      <c r="E2021" s="8"/>
      <c r="F2021" s="8"/>
      <c r="G2021" s="8"/>
      <c r="H2021" s="8"/>
      <c r="I2021" s="9"/>
      <c r="J2021" s="9"/>
      <c r="K2021" s="18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ht="14.25" customHeight="1">
      <c r="A2022" s="7"/>
      <c r="B2022" s="8"/>
      <c r="C2022" s="8"/>
      <c r="D2022" s="8"/>
      <c r="E2022" s="8"/>
      <c r="F2022" s="8"/>
      <c r="G2022" s="8"/>
      <c r="H2022" s="8"/>
      <c r="I2022" s="9"/>
      <c r="J2022" s="9"/>
      <c r="K2022" s="18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ht="14.25" customHeight="1">
      <c r="A2023" s="7"/>
      <c r="B2023" s="8"/>
      <c r="C2023" s="8"/>
      <c r="D2023" s="8"/>
      <c r="E2023" s="8"/>
      <c r="F2023" s="8"/>
      <c r="G2023" s="8"/>
      <c r="H2023" s="8"/>
      <c r="I2023" s="9"/>
      <c r="J2023" s="9"/>
      <c r="K2023" s="18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ht="14.25" customHeight="1">
      <c r="A2024" s="7"/>
      <c r="B2024" s="8"/>
      <c r="C2024" s="8"/>
      <c r="D2024" s="8"/>
      <c r="E2024" s="8"/>
      <c r="F2024" s="8"/>
      <c r="G2024" s="8"/>
      <c r="H2024" s="8"/>
      <c r="I2024" s="9"/>
      <c r="J2024" s="9"/>
      <c r="K2024" s="18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ht="14.25" customHeight="1">
      <c r="A2025" s="7"/>
      <c r="B2025" s="8"/>
      <c r="C2025" s="8"/>
      <c r="D2025" s="8"/>
      <c r="E2025" s="8"/>
      <c r="F2025" s="8"/>
      <c r="G2025" s="8"/>
      <c r="H2025" s="8"/>
      <c r="I2025" s="9"/>
      <c r="J2025" s="9"/>
      <c r="K2025" s="18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ht="14.25" customHeight="1">
      <c r="A2026" s="7"/>
      <c r="B2026" s="8"/>
      <c r="C2026" s="8"/>
      <c r="D2026" s="8"/>
      <c r="E2026" s="8"/>
      <c r="F2026" s="8"/>
      <c r="G2026" s="8"/>
      <c r="H2026" s="8"/>
      <c r="I2026" s="9"/>
      <c r="J2026" s="9"/>
      <c r="K2026" s="18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ht="14.25" customHeight="1">
      <c r="A2027" s="7"/>
      <c r="B2027" s="8"/>
      <c r="C2027" s="8"/>
      <c r="D2027" s="8"/>
      <c r="E2027" s="8"/>
      <c r="F2027" s="8"/>
      <c r="G2027" s="8"/>
      <c r="H2027" s="8"/>
      <c r="I2027" s="9"/>
      <c r="J2027" s="9"/>
      <c r="K2027" s="18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ht="14.25" customHeight="1">
      <c r="A2028" s="7"/>
      <c r="B2028" s="8"/>
      <c r="C2028" s="8"/>
      <c r="D2028" s="8"/>
      <c r="E2028" s="8"/>
      <c r="F2028" s="8"/>
      <c r="G2028" s="8"/>
      <c r="H2028" s="8"/>
      <c r="I2028" s="9"/>
      <c r="J2028" s="9"/>
      <c r="K2028" s="18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ht="14.25" customHeight="1">
      <c r="A2029" s="7"/>
      <c r="B2029" s="8"/>
      <c r="C2029" s="8"/>
      <c r="D2029" s="8"/>
      <c r="E2029" s="8"/>
      <c r="F2029" s="8"/>
      <c r="G2029" s="8"/>
      <c r="H2029" s="8"/>
      <c r="I2029" s="9"/>
      <c r="J2029" s="9"/>
      <c r="K2029" s="18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ht="14.25" customHeight="1">
      <c r="A2030" s="7"/>
      <c r="B2030" s="8"/>
      <c r="C2030" s="8"/>
      <c r="D2030" s="8"/>
      <c r="E2030" s="8"/>
      <c r="F2030" s="8"/>
      <c r="G2030" s="8"/>
      <c r="H2030" s="8"/>
      <c r="I2030" s="9"/>
      <c r="J2030" s="9"/>
      <c r="K2030" s="18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ht="14.25" customHeight="1">
      <c r="A2031" s="7"/>
      <c r="B2031" s="8"/>
      <c r="C2031" s="8"/>
      <c r="D2031" s="8"/>
      <c r="E2031" s="8"/>
      <c r="F2031" s="8"/>
      <c r="G2031" s="8"/>
      <c r="H2031" s="8"/>
      <c r="I2031" s="9"/>
      <c r="J2031" s="9"/>
      <c r="K2031" s="18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ht="14.25" customHeight="1">
      <c r="A2032" s="7"/>
      <c r="B2032" s="8"/>
      <c r="C2032" s="8"/>
      <c r="D2032" s="8"/>
      <c r="E2032" s="8"/>
      <c r="F2032" s="8"/>
      <c r="G2032" s="8"/>
      <c r="H2032" s="8"/>
      <c r="I2032" s="9"/>
      <c r="J2032" s="9"/>
      <c r="K2032" s="18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ht="14.25" customHeight="1">
      <c r="A2033" s="7"/>
      <c r="B2033" s="8"/>
      <c r="C2033" s="8"/>
      <c r="D2033" s="8"/>
      <c r="E2033" s="8"/>
      <c r="F2033" s="8"/>
      <c r="G2033" s="8"/>
      <c r="H2033" s="8"/>
      <c r="I2033" s="9"/>
      <c r="J2033" s="9"/>
      <c r="K2033" s="18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ht="14.25" customHeight="1">
      <c r="A2034" s="7"/>
      <c r="B2034" s="8"/>
      <c r="C2034" s="8"/>
      <c r="D2034" s="8"/>
      <c r="E2034" s="8"/>
      <c r="F2034" s="8"/>
      <c r="G2034" s="8"/>
      <c r="H2034" s="8"/>
      <c r="I2034" s="9"/>
      <c r="J2034" s="9"/>
      <c r="K2034" s="18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ht="14.25" customHeight="1">
      <c r="A2035" s="7"/>
      <c r="B2035" s="8"/>
      <c r="C2035" s="8"/>
      <c r="D2035" s="8"/>
      <c r="E2035" s="8"/>
      <c r="F2035" s="8"/>
      <c r="G2035" s="8"/>
      <c r="H2035" s="8"/>
      <c r="I2035" s="9"/>
      <c r="J2035" s="9"/>
      <c r="K2035" s="18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ht="14.25" customHeight="1">
      <c r="A2036" s="7"/>
      <c r="B2036" s="8"/>
      <c r="C2036" s="8"/>
      <c r="D2036" s="8"/>
      <c r="E2036" s="8"/>
      <c r="F2036" s="8"/>
      <c r="G2036" s="8"/>
      <c r="H2036" s="8"/>
      <c r="I2036" s="9"/>
      <c r="J2036" s="9"/>
      <c r="K2036" s="18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ht="14.25" customHeight="1">
      <c r="A2037" s="7"/>
      <c r="B2037" s="8"/>
      <c r="C2037" s="8"/>
      <c r="D2037" s="8"/>
      <c r="E2037" s="8"/>
      <c r="F2037" s="8"/>
      <c r="G2037" s="8"/>
      <c r="H2037" s="8"/>
      <c r="I2037" s="9"/>
      <c r="J2037" s="9"/>
      <c r="K2037" s="18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ht="14.25" customHeight="1">
      <c r="A2038" s="7"/>
      <c r="B2038" s="8"/>
      <c r="C2038" s="8"/>
      <c r="D2038" s="8"/>
      <c r="E2038" s="8"/>
      <c r="F2038" s="8"/>
      <c r="G2038" s="8"/>
      <c r="H2038" s="8"/>
      <c r="I2038" s="9"/>
      <c r="J2038" s="9"/>
      <c r="K2038" s="18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ht="14.25" customHeight="1">
      <c r="A2039" s="7"/>
      <c r="B2039" s="8"/>
      <c r="C2039" s="8"/>
      <c r="D2039" s="8"/>
      <c r="E2039" s="8"/>
      <c r="F2039" s="8"/>
      <c r="G2039" s="8"/>
      <c r="H2039" s="8"/>
      <c r="I2039" s="9"/>
      <c r="J2039" s="9"/>
      <c r="K2039" s="18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ht="14.25" customHeight="1">
      <c r="A2040" s="7"/>
      <c r="B2040" s="8"/>
      <c r="C2040" s="8"/>
      <c r="D2040" s="8"/>
      <c r="E2040" s="8"/>
      <c r="F2040" s="8"/>
      <c r="G2040" s="8"/>
      <c r="H2040" s="8"/>
      <c r="I2040" s="9"/>
      <c r="J2040" s="9"/>
      <c r="K2040" s="18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ht="14.25" customHeight="1">
      <c r="A2041" s="7"/>
      <c r="B2041" s="8"/>
      <c r="C2041" s="8"/>
      <c r="D2041" s="8"/>
      <c r="E2041" s="8"/>
      <c r="F2041" s="8"/>
      <c r="G2041" s="8"/>
      <c r="H2041" s="8"/>
      <c r="I2041" s="9"/>
      <c r="J2041" s="9"/>
      <c r="K2041" s="18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ht="14.25" customHeight="1">
      <c r="A2042" s="7"/>
      <c r="B2042" s="8"/>
      <c r="C2042" s="8"/>
      <c r="D2042" s="8"/>
      <c r="E2042" s="8"/>
      <c r="F2042" s="8"/>
      <c r="G2042" s="8"/>
      <c r="H2042" s="8"/>
      <c r="I2042" s="9"/>
      <c r="J2042" s="9"/>
      <c r="K2042" s="18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ht="14.25" customHeight="1">
      <c r="A2043" s="7"/>
      <c r="B2043" s="8"/>
      <c r="C2043" s="8"/>
      <c r="D2043" s="8"/>
      <c r="E2043" s="8"/>
      <c r="F2043" s="8"/>
      <c r="G2043" s="8"/>
      <c r="H2043" s="8"/>
      <c r="I2043" s="9"/>
      <c r="J2043" s="9"/>
      <c r="K2043" s="18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ht="14.25" customHeight="1">
      <c r="A2044" s="7"/>
      <c r="B2044" s="8"/>
      <c r="C2044" s="8"/>
      <c r="D2044" s="8"/>
      <c r="E2044" s="8"/>
      <c r="F2044" s="8"/>
      <c r="G2044" s="8"/>
      <c r="H2044" s="8"/>
      <c r="I2044" s="9"/>
      <c r="J2044" s="9"/>
      <c r="K2044" s="18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ht="14.25" customHeight="1">
      <c r="A2045" s="7"/>
      <c r="B2045" s="8"/>
      <c r="C2045" s="8"/>
      <c r="D2045" s="8"/>
      <c r="E2045" s="8"/>
      <c r="F2045" s="8"/>
      <c r="G2045" s="8"/>
      <c r="H2045" s="8"/>
      <c r="I2045" s="9"/>
      <c r="J2045" s="9"/>
      <c r="K2045" s="18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ht="14.25" customHeight="1">
      <c r="A2046" s="7"/>
      <c r="B2046" s="8"/>
      <c r="C2046" s="8"/>
      <c r="D2046" s="8"/>
      <c r="E2046" s="8"/>
      <c r="F2046" s="8"/>
      <c r="G2046" s="8"/>
      <c r="H2046" s="8"/>
      <c r="I2046" s="9"/>
      <c r="J2046" s="9"/>
      <c r="K2046" s="18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ht="14.25" customHeight="1">
      <c r="A2047" s="7"/>
      <c r="B2047" s="8"/>
      <c r="C2047" s="8"/>
      <c r="D2047" s="8"/>
      <c r="E2047" s="8"/>
      <c r="F2047" s="8"/>
      <c r="G2047" s="8"/>
      <c r="H2047" s="8"/>
      <c r="I2047" s="9"/>
      <c r="J2047" s="9"/>
      <c r="K2047" s="18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ht="14.25" customHeight="1">
      <c r="A2048" s="7"/>
      <c r="B2048" s="8"/>
      <c r="C2048" s="8"/>
      <c r="D2048" s="8"/>
      <c r="E2048" s="8"/>
      <c r="F2048" s="8"/>
      <c r="G2048" s="8"/>
      <c r="H2048" s="8"/>
      <c r="I2048" s="9"/>
      <c r="J2048" s="9"/>
      <c r="K2048" s="18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ht="14.25" customHeight="1">
      <c r="A2049" s="7"/>
      <c r="B2049" s="8"/>
      <c r="C2049" s="8"/>
      <c r="D2049" s="8"/>
      <c r="E2049" s="8"/>
      <c r="F2049" s="8"/>
      <c r="G2049" s="8"/>
      <c r="H2049" s="8"/>
      <c r="I2049" s="9"/>
      <c r="J2049" s="9"/>
      <c r="K2049" s="18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ht="14.25" customHeight="1">
      <c r="A2050" s="7"/>
      <c r="B2050" s="8"/>
      <c r="C2050" s="8"/>
      <c r="D2050" s="8"/>
      <c r="E2050" s="8"/>
      <c r="F2050" s="8"/>
      <c r="G2050" s="8"/>
      <c r="H2050" s="8"/>
      <c r="I2050" s="9"/>
      <c r="J2050" s="9"/>
      <c r="K2050" s="18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ht="14.25" customHeight="1">
      <c r="A2051" s="7"/>
      <c r="B2051" s="8"/>
      <c r="C2051" s="8"/>
      <c r="D2051" s="8"/>
      <c r="E2051" s="8"/>
      <c r="F2051" s="8"/>
      <c r="G2051" s="8"/>
      <c r="H2051" s="8"/>
      <c r="I2051" s="9"/>
      <c r="J2051" s="9"/>
      <c r="K2051" s="18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ht="14.25" customHeight="1">
      <c r="A2052" s="7"/>
      <c r="B2052" s="8"/>
      <c r="C2052" s="8"/>
      <c r="D2052" s="8"/>
      <c r="E2052" s="8"/>
      <c r="F2052" s="8"/>
      <c r="G2052" s="8"/>
      <c r="H2052" s="8"/>
      <c r="I2052" s="9"/>
      <c r="J2052" s="9"/>
      <c r="K2052" s="18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ht="14.25" customHeight="1">
      <c r="A2053" s="7"/>
      <c r="B2053" s="8"/>
      <c r="C2053" s="8"/>
      <c r="D2053" s="8"/>
      <c r="E2053" s="8"/>
      <c r="F2053" s="8"/>
      <c r="G2053" s="8"/>
      <c r="H2053" s="8"/>
      <c r="I2053" s="9"/>
      <c r="J2053" s="9"/>
      <c r="K2053" s="18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ht="14.25" customHeight="1">
      <c r="A2054" s="7"/>
      <c r="B2054" s="8"/>
      <c r="C2054" s="8"/>
      <c r="D2054" s="8"/>
      <c r="E2054" s="8"/>
      <c r="F2054" s="8"/>
      <c r="G2054" s="8"/>
      <c r="H2054" s="8"/>
      <c r="I2054" s="9"/>
      <c r="J2054" s="9"/>
      <c r="K2054" s="18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ht="14.25" customHeight="1">
      <c r="A2055" s="7"/>
      <c r="B2055" s="8"/>
      <c r="C2055" s="8"/>
      <c r="D2055" s="8"/>
      <c r="E2055" s="8"/>
      <c r="F2055" s="8"/>
      <c r="G2055" s="8"/>
      <c r="H2055" s="8"/>
      <c r="I2055" s="9"/>
      <c r="J2055" s="9"/>
      <c r="K2055" s="18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ht="14.25" customHeight="1">
      <c r="A2056" s="7"/>
      <c r="B2056" s="8"/>
      <c r="C2056" s="8"/>
      <c r="D2056" s="8"/>
      <c r="E2056" s="8"/>
      <c r="F2056" s="8"/>
      <c r="G2056" s="8"/>
      <c r="H2056" s="8"/>
      <c r="I2056" s="9"/>
      <c r="J2056" s="9"/>
      <c r="K2056" s="18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ht="14.25" customHeight="1">
      <c r="A2057" s="7"/>
      <c r="B2057" s="8"/>
      <c r="C2057" s="8"/>
      <c r="D2057" s="8"/>
      <c r="E2057" s="8"/>
      <c r="F2057" s="8"/>
      <c r="G2057" s="8"/>
      <c r="H2057" s="8"/>
      <c r="I2057" s="9"/>
      <c r="J2057" s="9"/>
      <c r="K2057" s="18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ht="14.25" customHeight="1">
      <c r="A2058" s="7"/>
      <c r="B2058" s="8"/>
      <c r="C2058" s="8"/>
      <c r="D2058" s="8"/>
      <c r="E2058" s="8"/>
      <c r="F2058" s="8"/>
      <c r="G2058" s="8"/>
      <c r="H2058" s="8"/>
      <c r="I2058" s="9"/>
      <c r="J2058" s="9"/>
      <c r="K2058" s="18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ht="14.25" customHeight="1">
      <c r="A2059" s="7"/>
      <c r="B2059" s="8"/>
      <c r="C2059" s="8"/>
      <c r="D2059" s="8"/>
      <c r="E2059" s="8"/>
      <c r="F2059" s="8"/>
      <c r="G2059" s="8"/>
      <c r="H2059" s="8"/>
      <c r="I2059" s="9"/>
      <c r="J2059" s="9"/>
      <c r="K2059" s="18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ht="14.25" customHeight="1">
      <c r="A2060" s="7"/>
      <c r="B2060" s="8"/>
      <c r="C2060" s="8"/>
      <c r="D2060" s="8"/>
      <c r="E2060" s="8"/>
      <c r="F2060" s="8"/>
      <c r="G2060" s="8"/>
      <c r="H2060" s="8"/>
      <c r="I2060" s="9"/>
      <c r="J2060" s="9"/>
      <c r="K2060" s="18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ht="14.25" customHeight="1">
      <c r="A2061" s="7"/>
      <c r="B2061" s="8"/>
      <c r="C2061" s="8"/>
      <c r="D2061" s="8"/>
      <c r="E2061" s="8"/>
      <c r="F2061" s="8"/>
      <c r="G2061" s="8"/>
      <c r="H2061" s="8"/>
      <c r="I2061" s="9"/>
      <c r="J2061" s="9"/>
      <c r="K2061" s="18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ht="14.25" customHeight="1">
      <c r="A2062" s="7"/>
      <c r="B2062" s="8"/>
      <c r="C2062" s="8"/>
      <c r="D2062" s="8"/>
      <c r="E2062" s="8"/>
      <c r="F2062" s="8"/>
      <c r="G2062" s="8"/>
      <c r="H2062" s="8"/>
      <c r="I2062" s="9"/>
      <c r="J2062" s="9"/>
      <c r="K2062" s="18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ht="14.25" customHeight="1">
      <c r="A2063" s="7"/>
      <c r="B2063" s="8"/>
      <c r="C2063" s="8"/>
      <c r="D2063" s="8"/>
      <c r="E2063" s="8"/>
      <c r="F2063" s="8"/>
      <c r="G2063" s="8"/>
      <c r="H2063" s="8"/>
      <c r="I2063" s="9"/>
      <c r="J2063" s="9"/>
      <c r="K2063" s="18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ht="14.25" customHeight="1">
      <c r="A2064" s="7"/>
      <c r="B2064" s="8"/>
      <c r="C2064" s="8"/>
      <c r="D2064" s="8"/>
      <c r="E2064" s="8"/>
      <c r="F2064" s="8"/>
      <c r="G2064" s="8"/>
      <c r="H2064" s="8"/>
      <c r="I2064" s="9"/>
      <c r="J2064" s="9"/>
      <c r="K2064" s="18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ht="14.25" customHeight="1">
      <c r="A2065" s="7"/>
      <c r="B2065" s="8"/>
      <c r="C2065" s="8"/>
      <c r="D2065" s="8"/>
      <c r="E2065" s="8"/>
      <c r="F2065" s="8"/>
      <c r="G2065" s="8"/>
      <c r="H2065" s="8"/>
      <c r="I2065" s="9"/>
      <c r="J2065" s="9"/>
      <c r="K2065" s="18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ht="14.25" customHeight="1">
      <c r="A2066" s="7"/>
      <c r="B2066" s="8"/>
      <c r="C2066" s="8"/>
      <c r="D2066" s="8"/>
      <c r="E2066" s="8"/>
      <c r="F2066" s="8"/>
      <c r="G2066" s="8"/>
      <c r="H2066" s="8"/>
      <c r="I2066" s="9"/>
      <c r="J2066" s="9"/>
      <c r="K2066" s="18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ht="14.25" customHeight="1">
      <c r="A2067" s="7"/>
      <c r="B2067" s="8"/>
      <c r="C2067" s="8"/>
      <c r="D2067" s="8"/>
      <c r="E2067" s="8"/>
      <c r="F2067" s="8"/>
      <c r="G2067" s="8"/>
      <c r="H2067" s="8"/>
      <c r="I2067" s="9"/>
      <c r="J2067" s="9"/>
      <c r="K2067" s="18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ht="14.25" customHeight="1">
      <c r="A2068" s="7"/>
      <c r="B2068" s="8"/>
      <c r="C2068" s="8"/>
      <c r="D2068" s="8"/>
      <c r="E2068" s="8"/>
      <c r="F2068" s="8"/>
      <c r="G2068" s="8"/>
      <c r="H2068" s="8"/>
      <c r="I2068" s="9"/>
      <c r="J2068" s="9"/>
      <c r="K2068" s="18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ht="14.25" customHeight="1">
      <c r="A2069" s="7"/>
      <c r="B2069" s="8"/>
      <c r="C2069" s="8"/>
      <c r="D2069" s="8"/>
      <c r="E2069" s="8"/>
      <c r="F2069" s="8"/>
      <c r="G2069" s="8"/>
      <c r="H2069" s="8"/>
      <c r="I2069" s="9"/>
      <c r="J2069" s="9"/>
      <c r="K2069" s="18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ht="14.25" customHeight="1">
      <c r="A2070" s="7"/>
      <c r="B2070" s="8"/>
      <c r="C2070" s="8"/>
      <c r="D2070" s="8"/>
      <c r="E2070" s="8"/>
      <c r="F2070" s="8"/>
      <c r="G2070" s="8"/>
      <c r="H2070" s="8"/>
      <c r="I2070" s="9"/>
      <c r="J2070" s="9"/>
      <c r="K2070" s="18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ht="14.25" customHeight="1">
      <c r="A2071" s="7"/>
      <c r="B2071" s="8"/>
      <c r="C2071" s="8"/>
      <c r="D2071" s="8"/>
      <c r="E2071" s="8"/>
      <c r="F2071" s="8"/>
      <c r="G2071" s="8"/>
      <c r="H2071" s="8"/>
      <c r="I2071" s="9"/>
      <c r="J2071" s="9"/>
      <c r="K2071" s="18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ht="14.25" customHeight="1">
      <c r="A2072" s="7"/>
      <c r="B2072" s="8"/>
      <c r="C2072" s="8"/>
      <c r="D2072" s="8"/>
      <c r="E2072" s="8"/>
      <c r="F2072" s="8"/>
      <c r="G2072" s="8"/>
      <c r="H2072" s="8"/>
      <c r="I2072" s="9"/>
      <c r="J2072" s="9"/>
      <c r="K2072" s="18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ht="14.25" customHeight="1">
      <c r="A2073" s="7"/>
      <c r="B2073" s="8"/>
      <c r="C2073" s="8"/>
      <c r="D2073" s="8"/>
      <c r="E2073" s="8"/>
      <c r="F2073" s="8"/>
      <c r="G2073" s="8"/>
      <c r="H2073" s="8"/>
      <c r="I2073" s="9"/>
      <c r="J2073" s="9"/>
      <c r="K2073" s="18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ht="14.25" customHeight="1">
      <c r="A2074" s="7"/>
      <c r="B2074" s="8"/>
      <c r="C2074" s="8"/>
      <c r="D2074" s="8"/>
      <c r="E2074" s="8"/>
      <c r="F2074" s="8"/>
      <c r="G2074" s="8"/>
      <c r="H2074" s="8"/>
      <c r="I2074" s="9"/>
      <c r="J2074" s="9"/>
      <c r="K2074" s="18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ht="14.25" customHeight="1">
      <c r="A2075" s="7"/>
      <c r="B2075" s="8"/>
      <c r="C2075" s="8"/>
      <c r="D2075" s="8"/>
      <c r="E2075" s="8"/>
      <c r="F2075" s="8"/>
      <c r="G2075" s="8"/>
      <c r="H2075" s="8"/>
      <c r="I2075" s="9"/>
      <c r="J2075" s="9"/>
      <c r="K2075" s="18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ht="14.25" customHeight="1">
      <c r="A2076" s="7"/>
      <c r="B2076" s="8"/>
      <c r="C2076" s="8"/>
      <c r="D2076" s="8"/>
      <c r="E2076" s="8"/>
      <c r="F2076" s="8"/>
      <c r="G2076" s="8"/>
      <c r="H2076" s="8"/>
      <c r="I2076" s="9"/>
      <c r="J2076" s="9"/>
      <c r="K2076" s="18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ht="14.25" customHeight="1">
      <c r="A2077" s="7"/>
      <c r="B2077" s="8"/>
      <c r="C2077" s="8"/>
      <c r="D2077" s="8"/>
      <c r="E2077" s="8"/>
      <c r="F2077" s="8"/>
      <c r="G2077" s="8"/>
      <c r="H2077" s="8"/>
      <c r="I2077" s="9"/>
      <c r="J2077" s="9"/>
      <c r="K2077" s="18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ht="14.25" customHeight="1">
      <c r="A2078" s="7"/>
      <c r="B2078" s="8"/>
      <c r="C2078" s="8"/>
      <c r="D2078" s="8"/>
      <c r="E2078" s="8"/>
      <c r="F2078" s="8"/>
      <c r="G2078" s="8"/>
      <c r="H2078" s="8"/>
      <c r="I2078" s="9"/>
      <c r="J2078" s="9"/>
      <c r="K2078" s="18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ht="14.25" customHeight="1">
      <c r="A2079" s="7"/>
      <c r="B2079" s="8"/>
      <c r="C2079" s="8"/>
      <c r="D2079" s="8"/>
      <c r="E2079" s="8"/>
      <c r="F2079" s="8"/>
      <c r="G2079" s="8"/>
      <c r="H2079" s="8"/>
      <c r="I2079" s="9"/>
      <c r="J2079" s="9"/>
      <c r="K2079" s="18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ht="14.25" customHeight="1">
      <c r="A2080" s="7"/>
      <c r="B2080" s="8"/>
      <c r="C2080" s="8"/>
      <c r="D2080" s="8"/>
      <c r="E2080" s="8"/>
      <c r="F2080" s="8"/>
      <c r="G2080" s="8"/>
      <c r="H2080" s="8"/>
      <c r="I2080" s="9"/>
      <c r="J2080" s="9"/>
      <c r="K2080" s="18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ht="14.25" customHeight="1">
      <c r="A2081" s="7"/>
      <c r="B2081" s="8"/>
      <c r="C2081" s="8"/>
      <c r="D2081" s="8"/>
      <c r="E2081" s="8"/>
      <c r="F2081" s="8"/>
      <c r="G2081" s="8"/>
      <c r="H2081" s="8"/>
      <c r="I2081" s="9"/>
      <c r="J2081" s="9"/>
      <c r="K2081" s="18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ht="14.25" customHeight="1">
      <c r="A2082" s="7"/>
      <c r="B2082" s="8"/>
      <c r="C2082" s="8"/>
      <c r="D2082" s="8"/>
      <c r="E2082" s="8"/>
      <c r="F2082" s="8"/>
      <c r="G2082" s="8"/>
      <c r="H2082" s="8"/>
      <c r="I2082" s="9"/>
      <c r="J2082" s="9"/>
      <c r="K2082" s="18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ht="14.25" customHeight="1">
      <c r="A2083" s="7"/>
      <c r="B2083" s="8"/>
      <c r="C2083" s="8"/>
      <c r="D2083" s="8"/>
      <c r="E2083" s="8"/>
      <c r="F2083" s="8"/>
      <c r="G2083" s="8"/>
      <c r="H2083" s="8"/>
      <c r="I2083" s="9"/>
      <c r="J2083" s="9"/>
      <c r="K2083" s="18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ht="14.25" customHeight="1">
      <c r="A2084" s="7"/>
      <c r="B2084" s="8"/>
      <c r="C2084" s="8"/>
      <c r="D2084" s="8"/>
      <c r="E2084" s="8"/>
      <c r="F2084" s="8"/>
      <c r="G2084" s="8"/>
      <c r="H2084" s="8"/>
      <c r="I2084" s="9"/>
      <c r="J2084" s="9"/>
      <c r="K2084" s="18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ht="14.25" customHeight="1">
      <c r="A2085" s="7"/>
      <c r="B2085" s="8"/>
      <c r="C2085" s="8"/>
      <c r="D2085" s="8"/>
      <c r="E2085" s="8"/>
      <c r="F2085" s="8"/>
      <c r="G2085" s="8"/>
      <c r="H2085" s="8"/>
      <c r="I2085" s="9"/>
      <c r="J2085" s="9"/>
      <c r="K2085" s="18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ht="14.25" customHeight="1">
      <c r="A2086" s="7"/>
      <c r="B2086" s="8"/>
      <c r="C2086" s="8"/>
      <c r="D2086" s="8"/>
      <c r="E2086" s="8"/>
      <c r="F2086" s="8"/>
      <c r="G2086" s="8"/>
      <c r="H2086" s="8"/>
      <c r="I2086" s="9"/>
      <c r="J2086" s="9"/>
      <c r="K2086" s="18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ht="14.25" customHeight="1">
      <c r="A2087" s="7"/>
      <c r="B2087" s="8"/>
      <c r="C2087" s="8"/>
      <c r="D2087" s="8"/>
      <c r="E2087" s="8"/>
      <c r="F2087" s="8"/>
      <c r="G2087" s="8"/>
      <c r="H2087" s="8"/>
      <c r="I2087" s="9"/>
      <c r="J2087" s="9"/>
      <c r="K2087" s="18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ht="14.25" customHeight="1">
      <c r="A2088" s="7"/>
      <c r="B2088" s="8"/>
      <c r="C2088" s="8"/>
      <c r="D2088" s="8"/>
      <c r="E2088" s="8"/>
      <c r="F2088" s="8"/>
      <c r="G2088" s="8"/>
      <c r="H2088" s="8"/>
      <c r="I2088" s="9"/>
      <c r="J2088" s="9"/>
      <c r="K2088" s="18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ht="14.25" customHeight="1">
      <c r="A2089" s="7"/>
      <c r="B2089" s="8"/>
      <c r="C2089" s="8"/>
      <c r="D2089" s="8"/>
      <c r="E2089" s="8"/>
      <c r="F2089" s="8"/>
      <c r="G2089" s="8"/>
      <c r="H2089" s="8"/>
      <c r="I2089" s="9"/>
      <c r="J2089" s="9"/>
      <c r="K2089" s="18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ht="14.25" customHeight="1">
      <c r="A2090" s="7"/>
      <c r="B2090" s="8"/>
      <c r="C2090" s="8"/>
      <c r="D2090" s="8"/>
      <c r="E2090" s="8"/>
      <c r="F2090" s="8"/>
      <c r="G2090" s="8"/>
      <c r="H2090" s="8"/>
      <c r="I2090" s="9"/>
      <c r="J2090" s="9"/>
      <c r="K2090" s="18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ht="14.25" customHeight="1">
      <c r="A2091" s="7"/>
      <c r="B2091" s="8"/>
      <c r="C2091" s="8"/>
      <c r="D2091" s="8"/>
      <c r="E2091" s="8"/>
      <c r="F2091" s="8"/>
      <c r="G2091" s="8"/>
      <c r="H2091" s="8"/>
      <c r="I2091" s="9"/>
      <c r="J2091" s="9"/>
      <c r="K2091" s="18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ht="14.25" customHeight="1">
      <c r="A2092" s="7"/>
      <c r="B2092" s="8"/>
      <c r="C2092" s="8"/>
      <c r="D2092" s="8"/>
      <c r="E2092" s="8"/>
      <c r="F2092" s="8"/>
      <c r="G2092" s="8"/>
      <c r="H2092" s="8"/>
      <c r="I2092" s="9"/>
      <c r="J2092" s="9"/>
      <c r="K2092" s="18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ht="14.25" customHeight="1">
      <c r="A2093" s="7"/>
      <c r="B2093" s="8"/>
      <c r="C2093" s="8"/>
      <c r="D2093" s="8"/>
      <c r="E2093" s="8"/>
      <c r="F2093" s="8"/>
      <c r="G2093" s="8"/>
      <c r="H2093" s="8"/>
      <c r="I2093" s="9"/>
      <c r="J2093" s="9"/>
      <c r="K2093" s="18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ht="14.25" customHeight="1">
      <c r="A2094" s="7"/>
      <c r="B2094" s="8"/>
      <c r="C2094" s="8"/>
      <c r="D2094" s="8"/>
      <c r="E2094" s="8"/>
      <c r="F2094" s="8"/>
      <c r="G2094" s="8"/>
      <c r="H2094" s="8"/>
      <c r="I2094" s="9"/>
      <c r="J2094" s="9"/>
      <c r="K2094" s="18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ht="14.25" customHeight="1">
      <c r="A2095" s="7"/>
      <c r="B2095" s="8"/>
      <c r="C2095" s="8"/>
      <c r="D2095" s="8"/>
      <c r="E2095" s="8"/>
      <c r="F2095" s="8"/>
      <c r="G2095" s="8"/>
      <c r="H2095" s="8"/>
      <c r="I2095" s="9"/>
      <c r="J2095" s="9"/>
      <c r="K2095" s="18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ht="14.25" customHeight="1">
      <c r="A2096" s="7"/>
      <c r="B2096" s="8"/>
      <c r="C2096" s="8"/>
      <c r="D2096" s="8"/>
      <c r="E2096" s="8"/>
      <c r="F2096" s="8"/>
      <c r="G2096" s="8"/>
      <c r="H2096" s="8"/>
      <c r="I2096" s="9"/>
      <c r="J2096" s="9"/>
      <c r="K2096" s="18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ht="14.25" customHeight="1">
      <c r="A2097" s="7"/>
      <c r="B2097" s="8"/>
      <c r="C2097" s="8"/>
      <c r="D2097" s="8"/>
      <c r="E2097" s="8"/>
      <c r="F2097" s="8"/>
      <c r="G2097" s="8"/>
      <c r="H2097" s="8"/>
      <c r="I2097" s="9"/>
      <c r="J2097" s="9"/>
      <c r="K2097" s="18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ht="14.25" customHeight="1">
      <c r="A2098" s="7"/>
      <c r="B2098" s="8"/>
      <c r="C2098" s="8"/>
      <c r="D2098" s="8"/>
      <c r="E2098" s="8"/>
      <c r="F2098" s="8"/>
      <c r="G2098" s="8"/>
      <c r="H2098" s="8"/>
      <c r="I2098" s="9"/>
      <c r="J2098" s="9"/>
      <c r="K2098" s="18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ht="14.25" customHeight="1">
      <c r="A2099" s="7"/>
      <c r="B2099" s="8"/>
      <c r="C2099" s="8"/>
      <c r="D2099" s="8"/>
      <c r="E2099" s="8"/>
      <c r="F2099" s="8"/>
      <c r="G2099" s="8"/>
      <c r="H2099" s="8"/>
      <c r="I2099" s="9"/>
      <c r="J2099" s="9"/>
      <c r="K2099" s="18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ht="14.25" customHeight="1">
      <c r="A2100" s="7"/>
      <c r="B2100" s="8"/>
      <c r="C2100" s="8"/>
      <c r="D2100" s="8"/>
      <c r="E2100" s="8"/>
      <c r="F2100" s="8"/>
      <c r="G2100" s="8"/>
      <c r="H2100" s="8"/>
      <c r="I2100" s="9"/>
      <c r="J2100" s="9"/>
      <c r="K2100" s="18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ht="14.25" customHeight="1">
      <c r="A2101" s="7"/>
      <c r="B2101" s="8"/>
      <c r="C2101" s="8"/>
      <c r="D2101" s="8"/>
      <c r="E2101" s="8"/>
      <c r="F2101" s="8"/>
      <c r="G2101" s="8"/>
      <c r="H2101" s="8"/>
      <c r="I2101" s="9"/>
      <c r="J2101" s="9"/>
      <c r="K2101" s="18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ht="14.25" customHeight="1">
      <c r="A2102" s="7"/>
      <c r="B2102" s="8"/>
      <c r="C2102" s="8"/>
      <c r="D2102" s="8"/>
      <c r="E2102" s="8"/>
      <c r="F2102" s="8"/>
      <c r="G2102" s="8"/>
      <c r="H2102" s="8"/>
      <c r="I2102" s="9"/>
      <c r="J2102" s="9"/>
      <c r="K2102" s="18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ht="14.25" customHeight="1">
      <c r="A2103" s="7"/>
      <c r="B2103" s="8"/>
      <c r="C2103" s="8"/>
      <c r="D2103" s="8"/>
      <c r="E2103" s="8"/>
      <c r="F2103" s="8"/>
      <c r="G2103" s="8"/>
      <c r="H2103" s="8"/>
      <c r="I2103" s="9"/>
      <c r="J2103" s="9"/>
      <c r="K2103" s="18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ht="14.25" customHeight="1">
      <c r="A2104" s="7"/>
      <c r="B2104" s="8"/>
      <c r="C2104" s="8"/>
      <c r="D2104" s="8"/>
      <c r="E2104" s="8"/>
      <c r="F2104" s="8"/>
      <c r="G2104" s="8"/>
      <c r="H2104" s="8"/>
      <c r="I2104" s="9"/>
      <c r="J2104" s="9"/>
      <c r="K2104" s="18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ht="14.25" customHeight="1">
      <c r="A2105" s="7"/>
      <c r="B2105" s="8"/>
      <c r="C2105" s="8"/>
      <c r="D2105" s="8"/>
      <c r="E2105" s="8"/>
      <c r="F2105" s="8"/>
      <c r="G2105" s="8"/>
      <c r="H2105" s="8"/>
      <c r="I2105" s="9"/>
      <c r="J2105" s="9"/>
      <c r="K2105" s="18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ht="14.25" customHeight="1">
      <c r="A2106" s="7"/>
      <c r="B2106" s="8"/>
      <c r="C2106" s="8"/>
      <c r="D2106" s="8"/>
      <c r="E2106" s="8"/>
      <c r="F2106" s="8"/>
      <c r="G2106" s="8"/>
      <c r="H2106" s="8"/>
      <c r="I2106" s="9"/>
      <c r="J2106" s="9"/>
      <c r="K2106" s="18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ht="14.25" customHeight="1">
      <c r="A2107" s="7"/>
      <c r="B2107" s="8"/>
      <c r="C2107" s="8"/>
      <c r="D2107" s="8"/>
      <c r="E2107" s="8"/>
      <c r="F2107" s="8"/>
      <c r="G2107" s="8"/>
      <c r="H2107" s="8"/>
      <c r="I2107" s="9"/>
      <c r="J2107" s="9"/>
      <c r="K2107" s="18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ht="14.25" customHeight="1">
      <c r="A2108" s="7"/>
      <c r="B2108" s="8"/>
      <c r="C2108" s="8"/>
      <c r="D2108" s="8"/>
      <c r="E2108" s="8"/>
      <c r="F2108" s="8"/>
      <c r="G2108" s="8"/>
      <c r="H2108" s="8"/>
      <c r="I2108" s="9"/>
      <c r="J2108" s="9"/>
      <c r="K2108" s="18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ht="14.25" customHeight="1">
      <c r="A2109" s="7"/>
      <c r="B2109" s="8"/>
      <c r="C2109" s="8"/>
      <c r="D2109" s="8"/>
      <c r="E2109" s="8"/>
      <c r="F2109" s="8"/>
      <c r="G2109" s="8"/>
      <c r="H2109" s="8"/>
      <c r="I2109" s="9"/>
      <c r="J2109" s="9"/>
      <c r="K2109" s="18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ht="14.25" customHeight="1">
      <c r="A2110" s="7"/>
      <c r="B2110" s="8"/>
      <c r="C2110" s="8"/>
      <c r="D2110" s="8"/>
      <c r="E2110" s="8"/>
      <c r="F2110" s="8"/>
      <c r="G2110" s="8"/>
      <c r="H2110" s="8"/>
      <c r="I2110" s="9"/>
      <c r="J2110" s="9"/>
      <c r="K2110" s="18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ht="14.25" customHeight="1">
      <c r="A2111" s="7"/>
      <c r="B2111" s="8"/>
      <c r="C2111" s="8"/>
      <c r="D2111" s="8"/>
      <c r="E2111" s="8"/>
      <c r="F2111" s="8"/>
      <c r="G2111" s="8"/>
      <c r="H2111" s="8"/>
      <c r="I2111" s="9"/>
      <c r="J2111" s="9"/>
      <c r="K2111" s="18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ht="14.25" customHeight="1">
      <c r="A2112" s="7"/>
      <c r="B2112" s="8"/>
      <c r="C2112" s="8"/>
      <c r="D2112" s="8"/>
      <c r="E2112" s="8"/>
      <c r="F2112" s="8"/>
      <c r="G2112" s="8"/>
      <c r="H2112" s="8"/>
      <c r="I2112" s="9"/>
      <c r="J2112" s="9"/>
      <c r="K2112" s="18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ht="14.25" customHeight="1">
      <c r="A2113" s="7"/>
      <c r="B2113" s="8"/>
      <c r="C2113" s="8"/>
      <c r="D2113" s="8"/>
      <c r="E2113" s="8"/>
      <c r="F2113" s="8"/>
      <c r="G2113" s="8"/>
      <c r="H2113" s="8"/>
      <c r="I2113" s="9"/>
      <c r="J2113" s="9"/>
      <c r="K2113" s="18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ht="14.25" customHeight="1">
      <c r="A2114" s="7"/>
      <c r="B2114" s="8"/>
      <c r="C2114" s="8"/>
      <c r="D2114" s="8"/>
      <c r="E2114" s="8"/>
      <c r="F2114" s="8"/>
      <c r="G2114" s="8"/>
      <c r="H2114" s="8"/>
      <c r="I2114" s="9"/>
      <c r="J2114" s="9"/>
      <c r="K2114" s="18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ht="14.25" customHeight="1">
      <c r="A2115" s="7"/>
      <c r="B2115" s="8"/>
      <c r="C2115" s="8"/>
      <c r="D2115" s="8"/>
      <c r="E2115" s="8"/>
      <c r="F2115" s="8"/>
      <c r="G2115" s="8"/>
      <c r="H2115" s="8"/>
      <c r="I2115" s="9"/>
      <c r="J2115" s="9"/>
      <c r="K2115" s="18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ht="14.25" customHeight="1">
      <c r="A2116" s="7"/>
      <c r="B2116" s="8"/>
      <c r="C2116" s="8"/>
      <c r="D2116" s="8"/>
      <c r="E2116" s="8"/>
      <c r="F2116" s="8"/>
      <c r="G2116" s="8"/>
      <c r="H2116" s="8"/>
      <c r="I2116" s="9"/>
      <c r="J2116" s="9"/>
      <c r="K2116" s="18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ht="14.25" customHeight="1">
      <c r="A2117" s="7"/>
      <c r="B2117" s="8"/>
      <c r="C2117" s="8"/>
      <c r="D2117" s="8"/>
      <c r="E2117" s="8"/>
      <c r="F2117" s="8"/>
      <c r="G2117" s="8"/>
      <c r="H2117" s="8"/>
      <c r="I2117" s="9"/>
      <c r="J2117" s="9"/>
      <c r="K2117" s="18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ht="14.25" customHeight="1">
      <c r="A2118" s="7"/>
      <c r="B2118" s="8"/>
      <c r="C2118" s="8"/>
      <c r="D2118" s="8"/>
      <c r="E2118" s="8"/>
      <c r="F2118" s="8"/>
      <c r="G2118" s="8"/>
      <c r="H2118" s="8"/>
      <c r="I2118" s="9"/>
      <c r="J2118" s="9"/>
      <c r="K2118" s="18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ht="14.25" customHeight="1">
      <c r="A2119" s="7"/>
      <c r="B2119" s="8"/>
      <c r="C2119" s="8"/>
      <c r="D2119" s="8"/>
      <c r="E2119" s="8"/>
      <c r="F2119" s="8"/>
      <c r="G2119" s="8"/>
      <c r="H2119" s="8"/>
      <c r="I2119" s="9"/>
      <c r="J2119" s="9"/>
      <c r="K2119" s="18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ht="14.25" customHeight="1">
      <c r="A2120" s="7"/>
      <c r="B2120" s="8"/>
      <c r="C2120" s="8"/>
      <c r="D2120" s="8"/>
      <c r="E2120" s="8"/>
      <c r="F2120" s="8"/>
      <c r="G2120" s="8"/>
      <c r="H2120" s="8"/>
      <c r="I2120" s="9"/>
      <c r="J2120" s="9"/>
      <c r="K2120" s="18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ht="14.25" customHeight="1">
      <c r="A2121" s="7"/>
      <c r="B2121" s="8"/>
      <c r="C2121" s="8"/>
      <c r="D2121" s="8"/>
      <c r="E2121" s="8"/>
      <c r="F2121" s="8"/>
      <c r="G2121" s="8"/>
      <c r="H2121" s="8"/>
      <c r="I2121" s="9"/>
      <c r="J2121" s="9"/>
      <c r="K2121" s="18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ht="14.25" customHeight="1">
      <c r="A2122" s="7"/>
      <c r="B2122" s="8"/>
      <c r="C2122" s="8"/>
      <c r="D2122" s="8"/>
      <c r="E2122" s="8"/>
      <c r="F2122" s="8"/>
      <c r="G2122" s="8"/>
      <c r="H2122" s="8"/>
      <c r="I2122" s="9"/>
      <c r="J2122" s="9"/>
      <c r="K2122" s="18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ht="14.25" customHeight="1">
      <c r="A2123" s="7"/>
      <c r="B2123" s="8"/>
      <c r="C2123" s="8"/>
      <c r="D2123" s="8"/>
      <c r="E2123" s="8"/>
      <c r="F2123" s="8"/>
      <c r="G2123" s="8"/>
      <c r="H2123" s="8"/>
      <c r="I2123" s="9"/>
      <c r="J2123" s="9"/>
      <c r="K2123" s="18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ht="14.25" customHeight="1">
      <c r="A2124" s="7"/>
      <c r="B2124" s="8"/>
      <c r="C2124" s="8"/>
      <c r="D2124" s="8"/>
      <c r="E2124" s="8"/>
      <c r="F2124" s="8"/>
      <c r="G2124" s="8"/>
      <c r="H2124" s="8"/>
      <c r="I2124" s="9"/>
      <c r="J2124" s="9"/>
      <c r="K2124" s="18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ht="14.25" customHeight="1">
      <c r="A2125" s="7"/>
      <c r="B2125" s="8"/>
      <c r="C2125" s="8"/>
      <c r="D2125" s="8"/>
      <c r="E2125" s="8"/>
      <c r="F2125" s="8"/>
      <c r="G2125" s="8"/>
      <c r="H2125" s="8"/>
      <c r="I2125" s="9"/>
      <c r="J2125" s="9"/>
      <c r="K2125" s="18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ht="14.25" customHeight="1">
      <c r="A2126" s="7"/>
      <c r="B2126" s="8"/>
      <c r="C2126" s="8"/>
      <c r="D2126" s="8"/>
      <c r="E2126" s="8"/>
      <c r="F2126" s="8"/>
      <c r="G2126" s="8"/>
      <c r="H2126" s="8"/>
      <c r="I2126" s="9"/>
      <c r="J2126" s="9"/>
      <c r="K2126" s="18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ht="14.25" customHeight="1">
      <c r="A2127" s="7"/>
      <c r="B2127" s="8"/>
      <c r="C2127" s="8"/>
      <c r="D2127" s="8"/>
      <c r="E2127" s="8"/>
      <c r="F2127" s="8"/>
      <c r="G2127" s="8"/>
      <c r="H2127" s="8"/>
      <c r="I2127" s="9"/>
      <c r="J2127" s="9"/>
      <c r="K2127" s="18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ht="14.25" customHeight="1">
      <c r="A2128" s="7"/>
      <c r="B2128" s="8"/>
      <c r="C2128" s="8"/>
      <c r="D2128" s="8"/>
      <c r="E2128" s="8"/>
      <c r="F2128" s="8"/>
      <c r="G2128" s="8"/>
      <c r="H2128" s="8"/>
      <c r="I2128" s="9"/>
      <c r="J2128" s="9"/>
      <c r="K2128" s="18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ht="14.25" customHeight="1">
      <c r="A2129" s="7"/>
      <c r="B2129" s="8"/>
      <c r="C2129" s="8"/>
      <c r="D2129" s="8"/>
      <c r="E2129" s="8"/>
      <c r="F2129" s="8"/>
      <c r="G2129" s="8"/>
      <c r="H2129" s="8"/>
      <c r="I2129" s="9"/>
      <c r="J2129" s="9"/>
      <c r="K2129" s="18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ht="14.25" customHeight="1">
      <c r="A2130" s="7"/>
      <c r="B2130" s="8"/>
      <c r="C2130" s="8"/>
      <c r="D2130" s="8"/>
      <c r="E2130" s="8"/>
      <c r="F2130" s="8"/>
      <c r="G2130" s="8"/>
      <c r="H2130" s="8"/>
      <c r="I2130" s="9"/>
      <c r="J2130" s="9"/>
      <c r="K2130" s="18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ht="14.25" customHeight="1">
      <c r="A2131" s="7"/>
      <c r="B2131" s="8"/>
      <c r="C2131" s="8"/>
      <c r="D2131" s="8"/>
      <c r="E2131" s="8"/>
      <c r="F2131" s="8"/>
      <c r="G2131" s="8"/>
      <c r="H2131" s="8"/>
      <c r="I2131" s="9"/>
      <c r="J2131" s="9"/>
      <c r="K2131" s="18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ht="14.25" customHeight="1">
      <c r="A2132" s="7"/>
      <c r="B2132" s="8"/>
      <c r="C2132" s="8"/>
      <c r="D2132" s="8"/>
      <c r="E2132" s="8"/>
      <c r="F2132" s="8"/>
      <c r="G2132" s="8"/>
      <c r="H2132" s="8"/>
      <c r="I2132" s="9"/>
      <c r="J2132" s="9"/>
      <c r="K2132" s="18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ht="14.25" customHeight="1">
      <c r="A2133" s="7"/>
      <c r="B2133" s="8"/>
      <c r="C2133" s="8"/>
      <c r="D2133" s="8"/>
      <c r="E2133" s="8"/>
      <c r="F2133" s="8"/>
      <c r="G2133" s="8"/>
      <c r="H2133" s="8"/>
      <c r="I2133" s="9"/>
      <c r="J2133" s="9"/>
      <c r="K2133" s="18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ht="14.25" customHeight="1">
      <c r="A2134" s="7"/>
      <c r="B2134" s="8"/>
      <c r="C2134" s="8"/>
      <c r="D2134" s="8"/>
      <c r="E2134" s="8"/>
      <c r="F2134" s="8"/>
      <c r="G2134" s="8"/>
      <c r="H2134" s="8"/>
      <c r="I2134" s="9"/>
      <c r="J2134" s="9"/>
      <c r="K2134" s="18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ht="14.25" customHeight="1">
      <c r="A2135" s="7"/>
      <c r="B2135" s="8"/>
      <c r="C2135" s="8"/>
      <c r="D2135" s="8"/>
      <c r="E2135" s="8"/>
      <c r="F2135" s="8"/>
      <c r="G2135" s="8"/>
      <c r="H2135" s="8"/>
      <c r="I2135" s="9"/>
      <c r="J2135" s="9"/>
      <c r="K2135" s="18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ht="14.25" customHeight="1">
      <c r="A2136" s="7"/>
      <c r="B2136" s="8"/>
      <c r="C2136" s="8"/>
      <c r="D2136" s="8"/>
      <c r="E2136" s="8"/>
      <c r="F2136" s="8"/>
      <c r="G2136" s="8"/>
      <c r="H2136" s="8"/>
      <c r="I2136" s="9"/>
      <c r="J2136" s="9"/>
      <c r="K2136" s="18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ht="14.25" customHeight="1">
      <c r="A2137" s="7"/>
      <c r="B2137" s="8"/>
      <c r="C2137" s="8"/>
      <c r="D2137" s="8"/>
      <c r="E2137" s="8"/>
      <c r="F2137" s="8"/>
      <c r="G2137" s="8"/>
      <c r="H2137" s="8"/>
      <c r="I2137" s="9"/>
      <c r="J2137" s="9"/>
      <c r="K2137" s="18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ht="14.25" customHeight="1">
      <c r="A2138" s="7"/>
      <c r="B2138" s="8"/>
      <c r="C2138" s="8"/>
      <c r="D2138" s="8"/>
      <c r="E2138" s="8"/>
      <c r="F2138" s="8"/>
      <c r="G2138" s="8"/>
      <c r="H2138" s="8"/>
      <c r="I2138" s="9"/>
      <c r="J2138" s="9"/>
      <c r="K2138" s="18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ht="14.25" customHeight="1">
      <c r="A2139" s="7"/>
      <c r="B2139" s="8"/>
      <c r="C2139" s="8"/>
      <c r="D2139" s="8"/>
      <c r="E2139" s="8"/>
      <c r="F2139" s="8"/>
      <c r="G2139" s="8"/>
      <c r="H2139" s="8"/>
      <c r="I2139" s="9"/>
      <c r="J2139" s="9"/>
      <c r="K2139" s="18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ht="14.25" customHeight="1">
      <c r="A2140" s="7"/>
      <c r="B2140" s="8"/>
      <c r="C2140" s="8"/>
      <c r="D2140" s="8"/>
      <c r="E2140" s="8"/>
      <c r="F2140" s="8"/>
      <c r="G2140" s="8"/>
      <c r="H2140" s="8"/>
      <c r="I2140" s="9"/>
      <c r="J2140" s="9"/>
      <c r="K2140" s="18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ht="14.25" customHeight="1">
      <c r="A2141" s="7"/>
      <c r="B2141" s="8"/>
      <c r="C2141" s="8"/>
      <c r="D2141" s="8"/>
      <c r="E2141" s="8"/>
      <c r="F2141" s="8"/>
      <c r="G2141" s="8"/>
      <c r="H2141" s="8"/>
      <c r="I2141" s="9"/>
      <c r="J2141" s="9"/>
      <c r="K2141" s="18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ht="14.25" customHeight="1">
      <c r="A2142" s="7"/>
      <c r="B2142" s="8"/>
      <c r="C2142" s="8"/>
      <c r="D2142" s="8"/>
      <c r="E2142" s="8"/>
      <c r="F2142" s="8"/>
      <c r="G2142" s="8"/>
      <c r="H2142" s="8"/>
      <c r="I2142" s="9"/>
      <c r="J2142" s="9"/>
      <c r="K2142" s="18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ht="14.25" customHeight="1">
      <c r="A2143" s="7"/>
      <c r="B2143" s="8"/>
      <c r="C2143" s="8"/>
      <c r="D2143" s="8"/>
      <c r="E2143" s="8"/>
      <c r="F2143" s="8"/>
      <c r="G2143" s="8"/>
      <c r="H2143" s="8"/>
      <c r="I2143" s="9"/>
      <c r="J2143" s="9"/>
      <c r="K2143" s="18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ht="14.25" customHeight="1">
      <c r="A2144" s="7"/>
      <c r="B2144" s="8"/>
      <c r="C2144" s="8"/>
      <c r="D2144" s="8"/>
      <c r="E2144" s="8"/>
      <c r="F2144" s="8"/>
      <c r="G2144" s="8"/>
      <c r="H2144" s="8"/>
      <c r="I2144" s="9"/>
      <c r="J2144" s="9"/>
      <c r="K2144" s="18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ht="14.25" customHeight="1">
      <c r="A2145" s="7"/>
      <c r="B2145" s="8"/>
      <c r="C2145" s="8"/>
      <c r="D2145" s="8"/>
      <c r="E2145" s="8"/>
      <c r="F2145" s="8"/>
      <c r="G2145" s="8"/>
      <c r="H2145" s="8"/>
      <c r="I2145" s="9"/>
      <c r="J2145" s="9"/>
      <c r="K2145" s="18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ht="14.25" customHeight="1">
      <c r="A2146" s="7"/>
      <c r="B2146" s="8"/>
      <c r="C2146" s="8"/>
      <c r="D2146" s="8"/>
      <c r="E2146" s="8"/>
      <c r="F2146" s="8"/>
      <c r="G2146" s="8"/>
      <c r="H2146" s="8"/>
      <c r="I2146" s="9"/>
      <c r="J2146" s="9"/>
      <c r="K2146" s="18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ht="14.25" customHeight="1">
      <c r="A2147" s="7"/>
      <c r="B2147" s="8"/>
      <c r="C2147" s="8"/>
      <c r="D2147" s="8"/>
      <c r="E2147" s="8"/>
      <c r="F2147" s="8"/>
      <c r="G2147" s="8"/>
      <c r="H2147" s="8"/>
      <c r="I2147" s="9"/>
      <c r="J2147" s="9"/>
      <c r="K2147" s="18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ht="14.25" customHeight="1">
      <c r="A2148" s="7"/>
      <c r="B2148" s="8"/>
      <c r="C2148" s="8"/>
      <c r="D2148" s="8"/>
      <c r="E2148" s="8"/>
      <c r="F2148" s="8"/>
      <c r="G2148" s="8"/>
      <c r="H2148" s="8"/>
      <c r="I2148" s="9"/>
      <c r="J2148" s="9"/>
      <c r="K2148" s="18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ht="14.25" customHeight="1">
      <c r="A2149" s="7"/>
      <c r="B2149" s="8"/>
      <c r="C2149" s="8"/>
      <c r="D2149" s="8"/>
      <c r="E2149" s="8"/>
      <c r="F2149" s="8"/>
      <c r="G2149" s="8"/>
      <c r="H2149" s="8"/>
      <c r="I2149" s="9"/>
      <c r="J2149" s="9"/>
      <c r="K2149" s="18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ht="14.25" customHeight="1">
      <c r="A2150" s="7"/>
      <c r="B2150" s="8"/>
      <c r="C2150" s="8"/>
      <c r="D2150" s="8"/>
      <c r="E2150" s="8"/>
      <c r="F2150" s="8"/>
      <c r="G2150" s="8"/>
      <c r="H2150" s="8"/>
      <c r="I2150" s="9"/>
      <c r="J2150" s="9"/>
      <c r="K2150" s="18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ht="14.25" customHeight="1">
      <c r="A2151" s="7"/>
      <c r="B2151" s="8"/>
      <c r="C2151" s="8"/>
      <c r="D2151" s="8"/>
      <c r="E2151" s="8"/>
      <c r="F2151" s="8"/>
      <c r="G2151" s="8"/>
      <c r="H2151" s="8"/>
      <c r="I2151" s="9"/>
      <c r="J2151" s="9"/>
      <c r="K2151" s="18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ht="14.25" customHeight="1">
      <c r="A2152" s="7"/>
      <c r="B2152" s="8"/>
      <c r="C2152" s="8"/>
      <c r="D2152" s="8"/>
      <c r="E2152" s="8"/>
      <c r="F2152" s="8"/>
      <c r="G2152" s="8"/>
      <c r="H2152" s="8"/>
      <c r="I2152" s="9"/>
      <c r="J2152" s="9"/>
      <c r="K2152" s="18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ht="14.25" customHeight="1">
      <c r="A2153" s="7"/>
      <c r="B2153" s="8"/>
      <c r="C2153" s="8"/>
      <c r="D2153" s="8"/>
      <c r="E2153" s="8"/>
      <c r="F2153" s="8"/>
      <c r="G2153" s="8"/>
      <c r="H2153" s="8"/>
      <c r="I2153" s="9"/>
      <c r="J2153" s="9"/>
      <c r="K2153" s="18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ht="14.25" customHeight="1">
      <c r="A2154" s="7"/>
      <c r="B2154" s="8"/>
      <c r="C2154" s="8"/>
      <c r="D2154" s="8"/>
      <c r="E2154" s="8"/>
      <c r="F2154" s="8"/>
      <c r="G2154" s="8"/>
      <c r="H2154" s="8"/>
      <c r="I2154" s="9"/>
      <c r="J2154" s="9"/>
      <c r="K2154" s="18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ht="14.25" customHeight="1">
      <c r="A2155" s="7"/>
      <c r="B2155" s="8"/>
      <c r="C2155" s="8"/>
      <c r="D2155" s="8"/>
      <c r="E2155" s="8"/>
      <c r="F2155" s="8"/>
      <c r="G2155" s="8"/>
      <c r="H2155" s="8"/>
      <c r="I2155" s="9"/>
      <c r="J2155" s="9"/>
      <c r="K2155" s="18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ht="14.25" customHeight="1">
      <c r="A2156" s="7"/>
      <c r="B2156" s="8"/>
      <c r="C2156" s="8"/>
      <c r="D2156" s="8"/>
      <c r="E2156" s="8"/>
      <c r="F2156" s="8"/>
      <c r="G2156" s="8"/>
      <c r="H2156" s="8"/>
      <c r="I2156" s="9"/>
      <c r="J2156" s="9"/>
      <c r="K2156" s="18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ht="14.25" customHeight="1">
      <c r="A2157" s="7"/>
      <c r="B2157" s="8"/>
      <c r="C2157" s="8"/>
      <c r="D2157" s="8"/>
      <c r="E2157" s="8"/>
      <c r="F2157" s="8"/>
      <c r="G2157" s="8"/>
      <c r="H2157" s="8"/>
      <c r="I2157" s="9"/>
      <c r="J2157" s="9"/>
      <c r="K2157" s="18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ht="14.25" customHeight="1">
      <c r="A2158" s="7"/>
      <c r="B2158" s="8"/>
      <c r="C2158" s="8"/>
      <c r="D2158" s="8"/>
      <c r="E2158" s="8"/>
      <c r="F2158" s="8"/>
      <c r="G2158" s="8"/>
      <c r="H2158" s="8"/>
      <c r="I2158" s="9"/>
      <c r="J2158" s="9"/>
      <c r="K2158" s="18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ht="14.25" customHeight="1">
      <c r="A2159" s="7"/>
      <c r="B2159" s="8"/>
      <c r="C2159" s="8"/>
      <c r="D2159" s="8"/>
      <c r="E2159" s="8"/>
      <c r="F2159" s="8"/>
      <c r="G2159" s="8"/>
      <c r="H2159" s="8"/>
      <c r="I2159" s="9"/>
      <c r="J2159" s="9"/>
      <c r="K2159" s="18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ht="14.25" customHeight="1">
      <c r="A2160" s="7"/>
      <c r="B2160" s="8"/>
      <c r="C2160" s="8"/>
      <c r="D2160" s="8"/>
      <c r="E2160" s="8"/>
      <c r="F2160" s="8"/>
      <c r="G2160" s="8"/>
      <c r="H2160" s="8"/>
      <c r="I2160" s="9"/>
      <c r="J2160" s="9"/>
      <c r="K2160" s="18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ht="14.25" customHeight="1">
      <c r="A2161" s="7"/>
      <c r="B2161" s="8"/>
      <c r="C2161" s="8"/>
      <c r="D2161" s="8"/>
      <c r="E2161" s="8"/>
      <c r="F2161" s="8"/>
      <c r="G2161" s="8"/>
      <c r="H2161" s="8"/>
      <c r="I2161" s="9"/>
      <c r="J2161" s="9"/>
      <c r="K2161" s="18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ht="14.25" customHeight="1">
      <c r="A2162" s="7"/>
      <c r="B2162" s="8"/>
      <c r="C2162" s="8"/>
      <c r="D2162" s="8"/>
      <c r="E2162" s="8"/>
      <c r="F2162" s="8"/>
      <c r="G2162" s="8"/>
      <c r="H2162" s="8"/>
      <c r="I2162" s="9"/>
      <c r="J2162" s="9"/>
      <c r="K2162" s="18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ht="14.25" customHeight="1">
      <c r="A2163" s="7"/>
      <c r="B2163" s="8"/>
      <c r="C2163" s="8"/>
      <c r="D2163" s="8"/>
      <c r="E2163" s="8"/>
      <c r="F2163" s="8"/>
      <c r="G2163" s="8"/>
      <c r="H2163" s="8"/>
      <c r="I2163" s="9"/>
      <c r="J2163" s="9"/>
      <c r="K2163" s="18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ht="14.25" customHeight="1">
      <c r="A2164" s="7"/>
      <c r="B2164" s="8"/>
      <c r="C2164" s="8"/>
      <c r="D2164" s="8"/>
      <c r="E2164" s="8"/>
      <c r="F2164" s="8"/>
      <c r="G2164" s="8"/>
      <c r="H2164" s="8"/>
      <c r="I2164" s="9"/>
      <c r="J2164" s="9"/>
      <c r="K2164" s="18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ht="14.25" customHeight="1">
      <c r="A2165" s="7"/>
      <c r="B2165" s="8"/>
      <c r="C2165" s="8"/>
      <c r="D2165" s="8"/>
      <c r="E2165" s="8"/>
      <c r="F2165" s="8"/>
      <c r="G2165" s="8"/>
      <c r="H2165" s="8"/>
      <c r="I2165" s="9"/>
      <c r="J2165" s="9"/>
      <c r="K2165" s="18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ht="14.25" customHeight="1">
      <c r="A2166" s="7"/>
      <c r="B2166" s="8"/>
      <c r="C2166" s="8"/>
      <c r="D2166" s="8"/>
      <c r="E2166" s="8"/>
      <c r="F2166" s="8"/>
      <c r="G2166" s="8"/>
      <c r="H2166" s="8"/>
      <c r="I2166" s="9"/>
      <c r="J2166" s="9"/>
      <c r="K2166" s="18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ht="14.25" customHeight="1">
      <c r="A2167" s="7"/>
      <c r="B2167" s="8"/>
      <c r="C2167" s="8"/>
      <c r="D2167" s="8"/>
      <c r="E2167" s="8"/>
      <c r="F2167" s="8"/>
      <c r="G2167" s="8"/>
      <c r="H2167" s="8"/>
      <c r="I2167" s="9"/>
      <c r="J2167" s="9"/>
      <c r="K2167" s="18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ht="14.25" customHeight="1">
      <c r="A2168" s="7"/>
      <c r="B2168" s="8"/>
      <c r="C2168" s="8"/>
      <c r="D2168" s="8"/>
      <c r="E2168" s="8"/>
      <c r="F2168" s="8"/>
      <c r="G2168" s="8"/>
      <c r="H2168" s="8"/>
      <c r="I2168" s="9"/>
      <c r="J2168" s="9"/>
      <c r="K2168" s="18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ht="14.25" customHeight="1">
      <c r="A2169" s="7"/>
      <c r="B2169" s="8"/>
      <c r="C2169" s="8"/>
      <c r="D2169" s="8"/>
      <c r="E2169" s="8"/>
      <c r="F2169" s="8"/>
      <c r="G2169" s="8"/>
      <c r="H2169" s="8"/>
      <c r="I2169" s="9"/>
      <c r="J2169" s="9"/>
      <c r="K2169" s="18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ht="14.25" customHeight="1">
      <c r="A2170" s="7"/>
      <c r="B2170" s="8"/>
      <c r="C2170" s="8"/>
      <c r="D2170" s="8"/>
      <c r="E2170" s="8"/>
      <c r="F2170" s="8"/>
      <c r="G2170" s="8"/>
      <c r="H2170" s="8"/>
      <c r="I2170" s="9"/>
      <c r="J2170" s="9"/>
      <c r="K2170" s="18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ht="14.25" customHeight="1">
      <c r="A2171" s="7"/>
      <c r="B2171" s="8"/>
      <c r="C2171" s="8"/>
      <c r="D2171" s="8"/>
      <c r="E2171" s="8"/>
      <c r="F2171" s="8"/>
      <c r="G2171" s="8"/>
      <c r="H2171" s="8"/>
      <c r="I2171" s="9"/>
      <c r="J2171" s="9"/>
      <c r="K2171" s="18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ht="14.25" customHeight="1">
      <c r="A2172" s="7"/>
      <c r="B2172" s="8"/>
      <c r="C2172" s="8"/>
      <c r="D2172" s="8"/>
      <c r="E2172" s="8"/>
      <c r="F2172" s="8"/>
      <c r="G2172" s="8"/>
      <c r="H2172" s="8"/>
      <c r="I2172" s="9"/>
      <c r="J2172" s="9"/>
      <c r="K2172" s="18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ht="14.25" customHeight="1">
      <c r="A2173" s="7"/>
      <c r="B2173" s="8"/>
      <c r="C2173" s="8"/>
      <c r="D2173" s="8"/>
      <c r="E2173" s="8"/>
      <c r="F2173" s="8"/>
      <c r="G2173" s="8"/>
      <c r="H2173" s="8"/>
      <c r="I2173" s="9"/>
      <c r="J2173" s="9"/>
      <c r="K2173" s="18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ht="14.25" customHeight="1">
      <c r="A2174" s="7"/>
      <c r="B2174" s="8"/>
      <c r="C2174" s="8"/>
      <c r="D2174" s="8"/>
      <c r="E2174" s="8"/>
      <c r="F2174" s="8"/>
      <c r="G2174" s="8"/>
      <c r="H2174" s="8"/>
      <c r="I2174" s="9"/>
      <c r="J2174" s="9"/>
      <c r="K2174" s="18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ht="14.25" customHeight="1">
      <c r="A2175" s="7"/>
      <c r="B2175" s="8"/>
      <c r="C2175" s="8"/>
      <c r="D2175" s="8"/>
      <c r="E2175" s="8"/>
      <c r="F2175" s="8"/>
      <c r="G2175" s="8"/>
      <c r="H2175" s="8"/>
      <c r="I2175" s="9"/>
      <c r="J2175" s="9"/>
      <c r="K2175" s="18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ht="14.25" customHeight="1">
      <c r="A2176" s="7"/>
      <c r="B2176" s="8"/>
      <c r="C2176" s="8"/>
      <c r="D2176" s="8"/>
      <c r="E2176" s="8"/>
      <c r="F2176" s="8"/>
      <c r="G2176" s="8"/>
      <c r="H2176" s="8"/>
      <c r="I2176" s="9"/>
      <c r="J2176" s="9"/>
      <c r="K2176" s="18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ht="14.25" customHeight="1">
      <c r="A2177" s="7"/>
      <c r="B2177" s="8"/>
      <c r="C2177" s="8"/>
      <c r="D2177" s="8"/>
      <c r="E2177" s="8"/>
      <c r="F2177" s="8"/>
      <c r="G2177" s="8"/>
      <c r="H2177" s="8"/>
      <c r="I2177" s="9"/>
      <c r="J2177" s="9"/>
      <c r="K2177" s="18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ht="14.25" customHeight="1">
      <c r="A2178" s="7"/>
      <c r="B2178" s="8"/>
      <c r="C2178" s="8"/>
      <c r="D2178" s="8"/>
      <c r="E2178" s="8"/>
      <c r="F2178" s="8"/>
      <c r="G2178" s="8"/>
      <c r="H2178" s="8"/>
      <c r="I2178" s="9"/>
      <c r="J2178" s="9"/>
      <c r="K2178" s="18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ht="14.25" customHeight="1">
      <c r="A2179" s="7"/>
      <c r="B2179" s="8"/>
      <c r="C2179" s="8"/>
      <c r="D2179" s="8"/>
      <c r="E2179" s="8"/>
      <c r="F2179" s="8"/>
      <c r="G2179" s="8"/>
      <c r="H2179" s="8"/>
      <c r="I2179" s="9"/>
      <c r="J2179" s="9"/>
      <c r="K2179" s="18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ht="14.25" customHeight="1">
      <c r="A2180" s="7"/>
      <c r="B2180" s="8"/>
      <c r="C2180" s="8"/>
      <c r="D2180" s="8"/>
      <c r="E2180" s="8"/>
      <c r="F2180" s="8"/>
      <c r="G2180" s="8"/>
      <c r="H2180" s="8"/>
      <c r="I2180" s="9"/>
      <c r="J2180" s="9"/>
      <c r="K2180" s="18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ht="14.25" customHeight="1">
      <c r="A2181" s="7"/>
      <c r="B2181" s="8"/>
      <c r="C2181" s="8"/>
      <c r="D2181" s="8"/>
      <c r="E2181" s="8"/>
      <c r="F2181" s="8"/>
      <c r="G2181" s="8"/>
      <c r="H2181" s="8"/>
      <c r="I2181" s="9"/>
      <c r="J2181" s="9"/>
      <c r="K2181" s="18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ht="14.25" customHeight="1">
      <c r="A2182" s="7"/>
      <c r="B2182" s="8"/>
      <c r="C2182" s="8"/>
      <c r="D2182" s="8"/>
      <c r="E2182" s="8"/>
      <c r="F2182" s="8"/>
      <c r="G2182" s="8"/>
      <c r="H2182" s="8"/>
      <c r="I2182" s="9"/>
      <c r="J2182" s="9"/>
      <c r="K2182" s="18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ht="14.25" customHeight="1">
      <c r="A2183" s="7"/>
      <c r="B2183" s="8"/>
      <c r="C2183" s="8"/>
      <c r="D2183" s="8"/>
      <c r="E2183" s="8"/>
      <c r="F2183" s="8"/>
      <c r="G2183" s="8"/>
      <c r="H2183" s="8"/>
      <c r="I2183" s="9"/>
      <c r="J2183" s="9"/>
      <c r="K2183" s="18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ht="14.25" customHeight="1">
      <c r="A2184" s="7"/>
      <c r="B2184" s="8"/>
      <c r="C2184" s="8"/>
      <c r="D2184" s="8"/>
      <c r="E2184" s="8"/>
      <c r="F2184" s="8"/>
      <c r="G2184" s="8"/>
      <c r="H2184" s="8"/>
      <c r="I2184" s="9"/>
      <c r="J2184" s="9"/>
      <c r="K2184" s="18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ht="14.25" customHeight="1">
      <c r="A2185" s="7"/>
      <c r="B2185" s="8"/>
      <c r="C2185" s="8"/>
      <c r="D2185" s="8"/>
      <c r="E2185" s="8"/>
      <c r="F2185" s="8"/>
      <c r="G2185" s="8"/>
      <c r="H2185" s="8"/>
      <c r="I2185" s="9"/>
      <c r="J2185" s="9"/>
      <c r="K2185" s="18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ht="14.25" customHeight="1">
      <c r="A2186" s="7"/>
      <c r="B2186" s="8"/>
      <c r="C2186" s="8"/>
      <c r="D2186" s="8"/>
      <c r="E2186" s="8"/>
      <c r="F2186" s="8"/>
      <c r="G2186" s="8"/>
      <c r="H2186" s="8"/>
      <c r="I2186" s="9"/>
      <c r="J2186" s="9"/>
      <c r="K2186" s="18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ht="14.25" customHeight="1">
      <c r="A2187" s="7"/>
      <c r="B2187" s="8"/>
      <c r="C2187" s="8"/>
      <c r="D2187" s="8"/>
      <c r="E2187" s="8"/>
      <c r="F2187" s="8"/>
      <c r="G2187" s="8"/>
      <c r="H2187" s="8"/>
      <c r="I2187" s="9"/>
      <c r="J2187" s="9"/>
      <c r="K2187" s="18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ht="14.25" customHeight="1">
      <c r="A2188" s="7"/>
      <c r="B2188" s="8"/>
      <c r="C2188" s="8"/>
      <c r="D2188" s="8"/>
      <c r="E2188" s="8"/>
      <c r="F2188" s="8"/>
      <c r="G2188" s="8"/>
      <c r="H2188" s="8"/>
      <c r="I2188" s="9"/>
      <c r="J2188" s="9"/>
      <c r="K2188" s="18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ht="14.25" customHeight="1">
      <c r="A2189" s="7"/>
      <c r="B2189" s="8"/>
      <c r="C2189" s="8"/>
      <c r="D2189" s="8"/>
      <c r="E2189" s="8"/>
      <c r="F2189" s="8"/>
      <c r="G2189" s="8"/>
      <c r="H2189" s="8"/>
      <c r="I2189" s="9"/>
      <c r="J2189" s="9"/>
      <c r="K2189" s="18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ht="14.25" customHeight="1">
      <c r="A2190" s="7"/>
      <c r="B2190" s="8"/>
      <c r="C2190" s="8"/>
      <c r="D2190" s="8"/>
      <c r="E2190" s="8"/>
      <c r="F2190" s="8"/>
      <c r="G2190" s="8"/>
      <c r="H2190" s="8"/>
      <c r="I2190" s="9"/>
      <c r="J2190" s="9"/>
      <c r="K2190" s="18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ht="14.25" customHeight="1">
      <c r="A2191" s="7"/>
      <c r="B2191" s="8"/>
      <c r="C2191" s="8"/>
      <c r="D2191" s="8"/>
      <c r="E2191" s="8"/>
      <c r="F2191" s="8"/>
      <c r="G2191" s="8"/>
      <c r="H2191" s="8"/>
      <c r="I2191" s="9"/>
      <c r="J2191" s="9"/>
      <c r="K2191" s="18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ht="14.25" customHeight="1">
      <c r="A2192" s="7"/>
      <c r="B2192" s="8"/>
      <c r="C2192" s="8"/>
      <c r="D2192" s="8"/>
      <c r="E2192" s="8"/>
      <c r="F2192" s="8"/>
      <c r="G2192" s="8"/>
      <c r="H2192" s="8"/>
      <c r="I2192" s="9"/>
      <c r="J2192" s="9"/>
      <c r="K2192" s="18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ht="14.25" customHeight="1">
      <c r="A2193" s="7"/>
      <c r="B2193" s="8"/>
      <c r="C2193" s="8"/>
      <c r="D2193" s="8"/>
      <c r="E2193" s="8"/>
      <c r="F2193" s="8"/>
      <c r="G2193" s="8"/>
      <c r="H2193" s="8"/>
      <c r="I2193" s="9"/>
      <c r="J2193" s="9"/>
      <c r="K2193" s="18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ht="14.25" customHeight="1">
      <c r="A2194" s="7"/>
      <c r="B2194" s="8"/>
      <c r="C2194" s="8"/>
      <c r="D2194" s="8"/>
      <c r="E2194" s="8"/>
      <c r="F2194" s="8"/>
      <c r="G2194" s="8"/>
      <c r="H2194" s="8"/>
      <c r="I2194" s="9"/>
      <c r="J2194" s="9"/>
      <c r="K2194" s="18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ht="14.25" customHeight="1">
      <c r="A2195" s="7"/>
      <c r="B2195" s="8"/>
      <c r="C2195" s="8"/>
      <c r="D2195" s="8"/>
      <c r="E2195" s="8"/>
      <c r="F2195" s="8"/>
      <c r="G2195" s="8"/>
      <c r="H2195" s="8"/>
      <c r="I2195" s="9"/>
      <c r="J2195" s="9"/>
      <c r="K2195" s="18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ht="14.25" customHeight="1">
      <c r="A2196" s="7"/>
      <c r="B2196" s="8"/>
      <c r="C2196" s="8"/>
      <c r="D2196" s="8"/>
      <c r="E2196" s="8"/>
      <c r="F2196" s="8"/>
      <c r="G2196" s="8"/>
      <c r="H2196" s="8"/>
      <c r="I2196" s="9"/>
      <c r="J2196" s="9"/>
      <c r="K2196" s="18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ht="14.25" customHeight="1">
      <c r="A2197" s="7"/>
      <c r="B2197" s="8"/>
      <c r="C2197" s="8"/>
      <c r="D2197" s="8"/>
      <c r="E2197" s="8"/>
      <c r="F2197" s="8"/>
      <c r="G2197" s="8"/>
      <c r="H2197" s="8"/>
      <c r="I2197" s="9"/>
      <c r="J2197" s="9"/>
      <c r="K2197" s="18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ht="14.25" customHeight="1">
      <c r="A2198" s="7"/>
      <c r="B2198" s="8"/>
      <c r="C2198" s="8"/>
      <c r="D2198" s="8"/>
      <c r="E2198" s="8"/>
      <c r="F2198" s="8"/>
      <c r="G2198" s="8"/>
      <c r="H2198" s="8"/>
      <c r="I2198" s="9"/>
      <c r="J2198" s="9"/>
      <c r="K2198" s="18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ht="14.25" customHeight="1">
      <c r="A2199" s="7"/>
      <c r="B2199" s="8"/>
      <c r="C2199" s="8"/>
      <c r="D2199" s="8"/>
      <c r="E2199" s="8"/>
      <c r="F2199" s="8"/>
      <c r="G2199" s="8"/>
      <c r="H2199" s="8"/>
      <c r="I2199" s="9"/>
      <c r="J2199" s="9"/>
      <c r="K2199" s="18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ht="14.25" customHeight="1">
      <c r="A2200" s="7"/>
      <c r="B2200" s="8"/>
      <c r="C2200" s="8"/>
      <c r="D2200" s="8"/>
      <c r="E2200" s="8"/>
      <c r="F2200" s="8"/>
      <c r="G2200" s="8"/>
      <c r="H2200" s="8"/>
      <c r="I2200" s="9"/>
      <c r="J2200" s="9"/>
      <c r="K2200" s="18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ht="14.25" customHeight="1">
      <c r="A2201" s="7"/>
      <c r="B2201" s="8"/>
      <c r="C2201" s="8"/>
      <c r="D2201" s="8"/>
      <c r="E2201" s="8"/>
      <c r="F2201" s="8"/>
      <c r="G2201" s="8"/>
      <c r="H2201" s="8"/>
      <c r="I2201" s="9"/>
      <c r="J2201" s="9"/>
      <c r="K2201" s="18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ht="14.25" customHeight="1">
      <c r="A2202" s="7"/>
      <c r="B2202" s="8"/>
      <c r="C2202" s="8"/>
      <c r="D2202" s="8"/>
      <c r="E2202" s="8"/>
      <c r="F2202" s="8"/>
      <c r="G2202" s="8"/>
      <c r="H2202" s="8"/>
      <c r="I2202" s="9"/>
      <c r="J2202" s="9"/>
      <c r="K2202" s="18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ht="14.25" customHeight="1">
      <c r="A2203" s="7"/>
      <c r="B2203" s="8"/>
      <c r="C2203" s="8"/>
      <c r="D2203" s="8"/>
      <c r="E2203" s="8"/>
      <c r="F2203" s="8"/>
      <c r="G2203" s="8"/>
      <c r="H2203" s="8"/>
      <c r="I2203" s="9"/>
      <c r="J2203" s="9"/>
      <c r="K2203" s="18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ht="14.25" customHeight="1">
      <c r="A2204" s="7"/>
      <c r="B2204" s="8"/>
      <c r="C2204" s="8"/>
      <c r="D2204" s="8"/>
      <c r="E2204" s="8"/>
      <c r="F2204" s="8"/>
      <c r="G2204" s="8"/>
      <c r="H2204" s="8"/>
      <c r="I2204" s="9"/>
      <c r="J2204" s="9"/>
      <c r="K2204" s="18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ht="14.25" customHeight="1">
      <c r="A2205" s="7"/>
      <c r="B2205" s="8"/>
      <c r="C2205" s="8"/>
      <c r="D2205" s="8"/>
      <c r="E2205" s="8"/>
      <c r="F2205" s="8"/>
      <c r="G2205" s="8"/>
      <c r="H2205" s="8"/>
      <c r="I2205" s="9"/>
      <c r="J2205" s="9"/>
      <c r="K2205" s="18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ht="14.25" customHeight="1">
      <c r="A2206" s="7"/>
      <c r="B2206" s="8"/>
      <c r="C2206" s="8"/>
      <c r="D2206" s="8"/>
      <c r="E2206" s="8"/>
      <c r="F2206" s="8"/>
      <c r="G2206" s="8"/>
      <c r="H2206" s="8"/>
      <c r="I2206" s="9"/>
      <c r="J2206" s="9"/>
      <c r="K2206" s="18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ht="14.25" customHeight="1">
      <c r="A2207" s="7"/>
      <c r="B2207" s="8"/>
      <c r="C2207" s="8"/>
      <c r="D2207" s="8"/>
      <c r="E2207" s="8"/>
      <c r="F2207" s="8"/>
      <c r="G2207" s="8"/>
      <c r="H2207" s="8"/>
      <c r="I2207" s="9"/>
      <c r="J2207" s="9"/>
      <c r="K2207" s="18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ht="14.25" customHeight="1">
      <c r="A2208" s="7"/>
      <c r="B2208" s="8"/>
      <c r="C2208" s="8"/>
      <c r="D2208" s="8"/>
      <c r="E2208" s="8"/>
      <c r="F2208" s="8"/>
      <c r="G2208" s="8"/>
      <c r="H2208" s="8"/>
      <c r="I2208" s="9"/>
      <c r="J2208" s="9"/>
      <c r="K2208" s="18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ht="14.25" customHeight="1">
      <c r="A2209" s="7"/>
      <c r="B2209" s="8"/>
      <c r="C2209" s="8"/>
      <c r="D2209" s="8"/>
      <c r="E2209" s="8"/>
      <c r="F2209" s="8"/>
      <c r="G2209" s="8"/>
      <c r="H2209" s="8"/>
      <c r="I2209" s="9"/>
      <c r="J2209" s="9"/>
      <c r="K2209" s="18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ht="14.25" customHeight="1">
      <c r="A2210" s="7"/>
      <c r="B2210" s="8"/>
      <c r="C2210" s="8"/>
      <c r="D2210" s="8"/>
      <c r="E2210" s="8"/>
      <c r="F2210" s="8"/>
      <c r="G2210" s="8"/>
      <c r="H2210" s="8"/>
      <c r="I2210" s="9"/>
      <c r="J2210" s="9"/>
      <c r="K2210" s="18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ht="14.25" customHeight="1">
      <c r="A2211" s="7"/>
      <c r="B2211" s="8"/>
      <c r="C2211" s="8"/>
      <c r="D2211" s="8"/>
      <c r="E2211" s="8"/>
      <c r="F2211" s="8"/>
      <c r="G2211" s="8"/>
      <c r="H2211" s="8"/>
      <c r="I2211" s="9"/>
      <c r="J2211" s="9"/>
      <c r="K2211" s="18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ht="14.25" customHeight="1">
      <c r="A2212" s="7"/>
      <c r="B2212" s="8"/>
      <c r="C2212" s="8"/>
      <c r="D2212" s="8"/>
      <c r="E2212" s="8"/>
      <c r="F2212" s="8"/>
      <c r="G2212" s="8"/>
      <c r="H2212" s="8"/>
      <c r="I2212" s="9"/>
      <c r="J2212" s="9"/>
      <c r="K2212" s="18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ht="14.25" customHeight="1">
      <c r="A2213" s="7"/>
      <c r="B2213" s="8"/>
      <c r="C2213" s="8"/>
      <c r="D2213" s="8"/>
      <c r="E2213" s="8"/>
      <c r="F2213" s="8"/>
      <c r="G2213" s="8"/>
      <c r="H2213" s="8"/>
      <c r="I2213" s="9"/>
      <c r="J2213" s="9"/>
      <c r="K2213" s="18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ht="14.25" customHeight="1">
      <c r="A2214" s="7"/>
      <c r="B2214" s="8"/>
      <c r="C2214" s="8"/>
      <c r="D2214" s="8"/>
      <c r="E2214" s="8"/>
      <c r="F2214" s="8"/>
      <c r="G2214" s="8"/>
      <c r="H2214" s="8"/>
      <c r="I2214" s="9"/>
      <c r="J2214" s="9"/>
      <c r="K2214" s="18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ht="14.25" customHeight="1">
      <c r="A2215" s="7"/>
      <c r="B2215" s="8"/>
      <c r="C2215" s="8"/>
      <c r="D2215" s="8"/>
      <c r="E2215" s="8"/>
      <c r="F2215" s="8"/>
      <c r="G2215" s="8"/>
      <c r="H2215" s="8"/>
      <c r="I2215" s="9"/>
      <c r="J2215" s="9"/>
      <c r="K2215" s="18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ht="14.25" customHeight="1">
      <c r="A2216" s="7"/>
      <c r="B2216" s="8"/>
      <c r="C2216" s="8"/>
      <c r="D2216" s="8"/>
      <c r="E2216" s="8"/>
      <c r="F2216" s="8"/>
      <c r="G2216" s="8"/>
      <c r="H2216" s="8"/>
      <c r="I2216" s="9"/>
      <c r="J2216" s="9"/>
      <c r="K2216" s="18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ht="14.25" customHeight="1">
      <c r="A2217" s="7"/>
      <c r="B2217" s="8"/>
      <c r="C2217" s="8"/>
      <c r="D2217" s="8"/>
      <c r="E2217" s="8"/>
      <c r="F2217" s="8"/>
      <c r="G2217" s="8"/>
      <c r="H2217" s="8"/>
      <c r="I2217" s="9"/>
      <c r="J2217" s="9"/>
      <c r="K2217" s="18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ht="14.25" customHeight="1">
      <c r="A2218" s="7"/>
      <c r="B2218" s="8"/>
      <c r="C2218" s="8"/>
      <c r="D2218" s="8"/>
      <c r="E2218" s="8"/>
      <c r="F2218" s="8"/>
      <c r="G2218" s="8"/>
      <c r="H2218" s="8"/>
      <c r="I2218" s="9"/>
      <c r="J2218" s="9"/>
      <c r="K2218" s="18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ht="14.25" customHeight="1">
      <c r="A2219" s="7"/>
      <c r="B2219" s="8"/>
      <c r="C2219" s="8"/>
      <c r="D2219" s="8"/>
      <c r="E2219" s="8"/>
      <c r="F2219" s="8"/>
      <c r="G2219" s="8"/>
      <c r="H2219" s="8"/>
      <c r="I2219" s="9"/>
      <c r="J2219" s="9"/>
      <c r="K2219" s="18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ht="14.25" customHeight="1">
      <c r="A2220" s="7"/>
      <c r="B2220" s="8"/>
      <c r="C2220" s="8"/>
      <c r="D2220" s="8"/>
      <c r="E2220" s="8"/>
      <c r="F2220" s="8"/>
      <c r="G2220" s="8"/>
      <c r="H2220" s="8"/>
      <c r="I2220" s="9"/>
      <c r="J2220" s="9"/>
      <c r="K2220" s="18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ht="14.25" customHeight="1">
      <c r="A2221" s="7"/>
      <c r="B2221" s="8"/>
      <c r="C2221" s="8"/>
      <c r="D2221" s="8"/>
      <c r="E2221" s="8"/>
      <c r="F2221" s="8"/>
      <c r="G2221" s="8"/>
      <c r="H2221" s="8"/>
      <c r="I2221" s="9"/>
      <c r="J2221" s="9"/>
      <c r="K2221" s="18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ht="14.25" customHeight="1">
      <c r="A2222" s="7"/>
      <c r="B2222" s="8"/>
      <c r="C2222" s="8"/>
      <c r="D2222" s="8"/>
      <c r="E2222" s="8"/>
      <c r="F2222" s="8"/>
      <c r="G2222" s="8"/>
      <c r="H2222" s="8"/>
      <c r="I2222" s="9"/>
      <c r="J2222" s="9"/>
      <c r="K2222" s="18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ht="14.25" customHeight="1">
      <c r="A2223" s="7"/>
      <c r="B2223" s="8"/>
      <c r="C2223" s="8"/>
      <c r="D2223" s="8"/>
      <c r="E2223" s="8"/>
      <c r="F2223" s="8"/>
      <c r="G2223" s="8"/>
      <c r="H2223" s="8"/>
      <c r="I2223" s="9"/>
      <c r="J2223" s="9"/>
      <c r="K2223" s="18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ht="14.25" customHeight="1">
      <c r="A2224" s="7"/>
      <c r="B2224" s="8"/>
      <c r="C2224" s="8"/>
      <c r="D2224" s="8"/>
      <c r="E2224" s="8"/>
      <c r="F2224" s="8"/>
      <c r="G2224" s="8"/>
      <c r="H2224" s="8"/>
      <c r="I2224" s="9"/>
      <c r="J2224" s="9"/>
      <c r="K2224" s="18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ht="14.25" customHeight="1">
      <c r="A2225" s="7"/>
      <c r="B2225" s="8"/>
      <c r="C2225" s="8"/>
      <c r="D2225" s="8"/>
      <c r="E2225" s="8"/>
      <c r="F2225" s="8"/>
      <c r="G2225" s="8"/>
      <c r="H2225" s="8"/>
      <c r="I2225" s="9"/>
      <c r="J2225" s="9"/>
      <c r="K2225" s="18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ht="14.25" customHeight="1">
      <c r="A2226" s="7"/>
      <c r="B2226" s="8"/>
      <c r="C2226" s="8"/>
      <c r="D2226" s="8"/>
      <c r="E2226" s="8"/>
      <c r="F2226" s="8"/>
      <c r="G2226" s="8"/>
      <c r="H2226" s="8"/>
      <c r="I2226" s="9"/>
      <c r="J2226" s="9"/>
      <c r="K2226" s="18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ht="14.25" customHeight="1">
      <c r="A2227" s="7"/>
      <c r="B2227" s="8"/>
      <c r="C2227" s="8"/>
      <c r="D2227" s="8"/>
      <c r="E2227" s="8"/>
      <c r="F2227" s="8"/>
      <c r="G2227" s="8"/>
      <c r="H2227" s="8"/>
      <c r="I2227" s="9"/>
      <c r="J2227" s="9"/>
      <c r="K2227" s="18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ht="14.25" customHeight="1">
      <c r="A2228" s="7"/>
      <c r="B2228" s="8"/>
      <c r="C2228" s="8"/>
      <c r="D2228" s="8"/>
      <c r="E2228" s="8"/>
      <c r="F2228" s="8"/>
      <c r="G2228" s="8"/>
      <c r="H2228" s="8"/>
      <c r="I2228" s="9"/>
      <c r="J2228" s="9"/>
      <c r="K2228" s="18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ht="14.25" customHeight="1">
      <c r="A2229" s="7"/>
      <c r="B2229" s="8"/>
      <c r="C2229" s="8"/>
      <c r="D2229" s="8"/>
      <c r="E2229" s="8"/>
      <c r="F2229" s="8"/>
      <c r="G2229" s="8"/>
      <c r="H2229" s="8"/>
      <c r="I2229" s="9"/>
      <c r="J2229" s="9"/>
      <c r="K2229" s="18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ht="14.25" customHeight="1">
      <c r="A2230" s="7"/>
      <c r="B2230" s="8"/>
      <c r="C2230" s="8"/>
      <c r="D2230" s="8"/>
      <c r="E2230" s="8"/>
      <c r="F2230" s="8"/>
      <c r="G2230" s="8"/>
      <c r="H2230" s="8"/>
      <c r="I2230" s="9"/>
      <c r="J2230" s="9"/>
      <c r="K2230" s="18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ht="14.25" customHeight="1">
      <c r="A2231" s="7"/>
      <c r="B2231" s="8"/>
      <c r="C2231" s="8"/>
      <c r="D2231" s="8"/>
      <c r="E2231" s="8"/>
      <c r="F2231" s="8"/>
      <c r="G2231" s="8"/>
      <c r="H2231" s="8"/>
      <c r="I2231" s="9"/>
      <c r="J2231" s="9"/>
      <c r="K2231" s="18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ht="14.25" customHeight="1">
      <c r="A2232" s="7"/>
      <c r="B2232" s="8"/>
      <c r="C2232" s="8"/>
      <c r="D2232" s="8"/>
      <c r="E2232" s="8"/>
      <c r="F2232" s="8"/>
      <c r="G2232" s="8"/>
      <c r="H2232" s="8"/>
      <c r="I2232" s="9"/>
      <c r="J2232" s="9"/>
      <c r="K2232" s="18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ht="14.25" customHeight="1">
      <c r="A2233" s="7"/>
      <c r="B2233" s="8"/>
      <c r="C2233" s="8"/>
      <c r="D2233" s="8"/>
      <c r="E2233" s="8"/>
      <c r="F2233" s="8"/>
      <c r="G2233" s="8"/>
      <c r="H2233" s="8"/>
      <c r="I2233" s="9"/>
      <c r="J2233" s="9"/>
      <c r="K2233" s="18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ht="14.25" customHeight="1">
      <c r="A2234" s="7"/>
      <c r="B2234" s="8"/>
      <c r="C2234" s="8"/>
      <c r="D2234" s="8"/>
      <c r="E2234" s="8"/>
      <c r="F2234" s="8"/>
      <c r="G2234" s="8"/>
      <c r="H2234" s="8"/>
      <c r="I2234" s="9"/>
      <c r="J2234" s="9"/>
      <c r="K2234" s="18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ht="14.25" customHeight="1">
      <c r="A2235" s="7"/>
      <c r="B2235" s="8"/>
      <c r="C2235" s="8"/>
      <c r="D2235" s="8"/>
      <c r="E2235" s="8"/>
      <c r="F2235" s="8"/>
      <c r="G2235" s="8"/>
      <c r="H2235" s="8"/>
      <c r="I2235" s="9"/>
      <c r="J2235" s="9"/>
      <c r="K2235" s="18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ht="14.25" customHeight="1">
      <c r="A2236" s="7"/>
      <c r="B2236" s="8"/>
      <c r="C2236" s="8"/>
      <c r="D2236" s="8"/>
      <c r="E2236" s="8"/>
      <c r="F2236" s="8"/>
      <c r="G2236" s="8"/>
      <c r="H2236" s="8"/>
      <c r="I2236" s="9"/>
      <c r="J2236" s="9"/>
      <c r="K2236" s="18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ht="14.25" customHeight="1">
      <c r="A2237" s="7"/>
      <c r="B2237" s="8"/>
      <c r="C2237" s="8"/>
      <c r="D2237" s="8"/>
      <c r="E2237" s="8"/>
      <c r="F2237" s="8"/>
      <c r="G2237" s="8"/>
      <c r="H2237" s="8"/>
      <c r="I2237" s="9"/>
      <c r="J2237" s="9"/>
      <c r="K2237" s="18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ht="14.25" customHeight="1">
      <c r="A2238" s="7"/>
      <c r="B2238" s="8"/>
      <c r="C2238" s="8"/>
      <c r="D2238" s="8"/>
      <c r="E2238" s="8"/>
      <c r="F2238" s="8"/>
      <c r="G2238" s="8"/>
      <c r="H2238" s="8"/>
      <c r="I2238" s="9"/>
      <c r="J2238" s="9"/>
      <c r="K2238" s="18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ht="14.25" customHeight="1">
      <c r="A2239" s="7"/>
      <c r="B2239" s="8"/>
      <c r="C2239" s="8"/>
      <c r="D2239" s="8"/>
      <c r="E2239" s="8"/>
      <c r="F2239" s="8"/>
      <c r="G2239" s="8"/>
      <c r="H2239" s="8"/>
      <c r="I2239" s="9"/>
      <c r="J2239" s="9"/>
      <c r="K2239" s="18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ht="14.25" customHeight="1">
      <c r="A2240" s="7"/>
      <c r="B2240" s="8"/>
      <c r="C2240" s="8"/>
      <c r="D2240" s="8"/>
      <c r="E2240" s="8"/>
      <c r="F2240" s="8"/>
      <c r="G2240" s="8"/>
      <c r="H2240" s="8"/>
      <c r="I2240" s="9"/>
      <c r="J2240" s="9"/>
      <c r="K2240" s="18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ht="14.25" customHeight="1">
      <c r="A2241" s="7"/>
      <c r="B2241" s="8"/>
      <c r="C2241" s="8"/>
      <c r="D2241" s="8"/>
      <c r="E2241" s="8"/>
      <c r="F2241" s="8"/>
      <c r="G2241" s="8"/>
      <c r="H2241" s="8"/>
      <c r="I2241" s="9"/>
      <c r="J2241" s="9"/>
      <c r="K2241" s="18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ht="14.25" customHeight="1">
      <c r="A2242" s="7"/>
      <c r="B2242" s="8"/>
      <c r="C2242" s="8"/>
      <c r="D2242" s="8"/>
      <c r="E2242" s="8"/>
      <c r="F2242" s="8"/>
      <c r="G2242" s="8"/>
      <c r="H2242" s="8"/>
      <c r="I2242" s="9"/>
      <c r="J2242" s="9"/>
      <c r="K2242" s="18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ht="14.25" customHeight="1">
      <c r="A2243" s="7"/>
      <c r="B2243" s="8"/>
      <c r="C2243" s="8"/>
      <c r="D2243" s="8"/>
      <c r="E2243" s="8"/>
      <c r="F2243" s="8"/>
      <c r="G2243" s="8"/>
      <c r="H2243" s="8"/>
      <c r="I2243" s="9"/>
      <c r="J2243" s="9"/>
      <c r="K2243" s="18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ht="14.25" customHeight="1">
      <c r="A2244" s="7"/>
      <c r="B2244" s="8"/>
      <c r="C2244" s="8"/>
      <c r="D2244" s="8"/>
      <c r="E2244" s="8"/>
      <c r="F2244" s="8"/>
      <c r="G2244" s="8"/>
      <c r="H2244" s="8"/>
      <c r="I2244" s="9"/>
      <c r="J2244" s="9"/>
      <c r="K2244" s="18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ht="14.25" customHeight="1">
      <c r="A2245" s="7"/>
      <c r="B2245" s="8"/>
      <c r="C2245" s="8"/>
      <c r="D2245" s="8"/>
      <c r="E2245" s="8"/>
      <c r="F2245" s="8"/>
      <c r="G2245" s="8"/>
      <c r="H2245" s="8"/>
      <c r="I2245" s="9"/>
      <c r="J2245" s="9"/>
      <c r="K2245" s="18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ht="14.25" customHeight="1">
      <c r="A2246" s="7"/>
      <c r="B2246" s="8"/>
      <c r="C2246" s="8"/>
      <c r="D2246" s="8"/>
      <c r="E2246" s="8"/>
      <c r="F2246" s="8"/>
      <c r="G2246" s="8"/>
      <c r="H2246" s="8"/>
      <c r="I2246" s="9"/>
      <c r="J2246" s="9"/>
      <c r="K2246" s="18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ht="14.25" customHeight="1">
      <c r="A2247" s="7"/>
      <c r="B2247" s="8"/>
      <c r="C2247" s="8"/>
      <c r="D2247" s="8"/>
      <c r="E2247" s="8"/>
      <c r="F2247" s="8"/>
      <c r="G2247" s="8"/>
      <c r="H2247" s="8"/>
      <c r="I2247" s="9"/>
      <c r="J2247" s="9"/>
      <c r="K2247" s="18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ht="14.25" customHeight="1">
      <c r="A2248" s="7"/>
      <c r="B2248" s="8"/>
      <c r="C2248" s="8"/>
      <c r="D2248" s="8"/>
      <c r="E2248" s="8"/>
      <c r="F2248" s="8"/>
      <c r="G2248" s="8"/>
      <c r="H2248" s="8"/>
      <c r="I2248" s="9"/>
      <c r="J2248" s="9"/>
      <c r="K2248" s="18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</sheetData>
  <mergeCells count="1">
    <mergeCell ref="A1:J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" width="21.57"/>
    <col customWidth="1" min="3" max="3" width="20.14"/>
    <col customWidth="1" min="4" max="4" width="11.14"/>
    <col customWidth="1" min="5" max="5" width="16.71"/>
    <col customWidth="1" min="6" max="6" width="28.57"/>
    <col customWidth="1" min="7" max="7" width="14.43"/>
    <col customWidth="1" min="8" max="8" width="22.0"/>
    <col customWidth="1" min="9" max="10" width="14.43"/>
    <col customWidth="1" min="11" max="11" width="14.86"/>
    <col customWidth="1" min="12" max="12" width="12.43"/>
    <col customWidth="1" min="13" max="26" width="8.71"/>
  </cols>
  <sheetData>
    <row r="1" ht="37.5" customHeight="1">
      <c r="A1" s="1" t="s">
        <v>4</v>
      </c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14.25" customHeight="1">
      <c r="A2" s="25" t="s">
        <v>5</v>
      </c>
      <c r="B2" s="25" t="s">
        <v>6</v>
      </c>
      <c r="C2" s="25" t="s">
        <v>7</v>
      </c>
      <c r="D2" s="25" t="s">
        <v>8</v>
      </c>
      <c r="E2" s="25" t="s">
        <v>9</v>
      </c>
      <c r="F2" s="25" t="s">
        <v>10</v>
      </c>
      <c r="G2" s="25" t="s">
        <v>11</v>
      </c>
      <c r="H2" s="25" t="s">
        <v>12</v>
      </c>
      <c r="I2" s="26" t="s">
        <v>13</v>
      </c>
      <c r="J2" s="26" t="s">
        <v>14</v>
      </c>
      <c r="K2" s="27" t="s">
        <v>15</v>
      </c>
      <c r="L2" s="28" t="s">
        <v>16</v>
      </c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4.25" customHeight="1">
      <c r="A3" s="29" t="s">
        <v>17</v>
      </c>
      <c r="B3" s="30" t="s">
        <v>18</v>
      </c>
      <c r="C3" s="30" t="s">
        <v>19</v>
      </c>
      <c r="D3" s="30" t="s">
        <v>20</v>
      </c>
      <c r="E3" s="30" t="s">
        <v>21</v>
      </c>
      <c r="F3" s="30" t="s">
        <v>22</v>
      </c>
      <c r="G3" s="30">
        <v>1.0</v>
      </c>
      <c r="H3" s="30" t="s">
        <v>23</v>
      </c>
      <c r="I3" s="31">
        <v>45078.0</v>
      </c>
      <c r="J3" s="32"/>
      <c r="K3" s="33">
        <v>46174.0</v>
      </c>
      <c r="L3" s="30">
        <v>1.0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29" t="s">
        <v>24</v>
      </c>
      <c r="B4" s="30" t="s">
        <v>25</v>
      </c>
      <c r="C4" s="30" t="s">
        <v>26</v>
      </c>
      <c r="D4" s="30" t="s">
        <v>27</v>
      </c>
      <c r="E4" s="30" t="s">
        <v>21</v>
      </c>
      <c r="F4" s="30" t="s">
        <v>28</v>
      </c>
      <c r="G4" s="30" t="s">
        <v>29</v>
      </c>
      <c r="H4" s="30" t="s">
        <v>30</v>
      </c>
      <c r="I4" s="31">
        <v>40330.0</v>
      </c>
      <c r="J4" s="32"/>
      <c r="K4" s="33">
        <v>47635.0</v>
      </c>
      <c r="L4" s="30">
        <v>1.0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29" t="s">
        <v>31</v>
      </c>
      <c r="B5" s="30" t="s">
        <v>32</v>
      </c>
      <c r="C5" s="30" t="s">
        <v>33</v>
      </c>
      <c r="D5" s="30" t="s">
        <v>20</v>
      </c>
      <c r="E5" s="30" t="s">
        <v>21</v>
      </c>
      <c r="F5" s="30" t="s">
        <v>34</v>
      </c>
      <c r="G5" s="30" t="s">
        <v>35</v>
      </c>
      <c r="H5" s="30" t="s">
        <v>36</v>
      </c>
      <c r="I5" s="31">
        <v>45444.0</v>
      </c>
      <c r="J5" s="32"/>
      <c r="K5" s="33">
        <v>46539.0</v>
      </c>
      <c r="L5" s="30">
        <v>1.0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29" t="s">
        <v>37</v>
      </c>
      <c r="B6" s="30" t="s">
        <v>38</v>
      </c>
      <c r="C6" s="30" t="s">
        <v>39</v>
      </c>
      <c r="D6" s="30" t="s">
        <v>20</v>
      </c>
      <c r="E6" s="30" t="s">
        <v>21</v>
      </c>
      <c r="F6" s="30" t="s">
        <v>40</v>
      </c>
      <c r="G6" s="30" t="s">
        <v>41</v>
      </c>
      <c r="H6" s="30" t="s">
        <v>42</v>
      </c>
      <c r="I6" s="31">
        <v>44713.0</v>
      </c>
      <c r="J6" s="32"/>
      <c r="K6" s="33">
        <v>45809.0</v>
      </c>
      <c r="L6" s="30">
        <v>1.0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29" t="s">
        <v>43</v>
      </c>
      <c r="B7" s="30" t="s">
        <v>44</v>
      </c>
      <c r="C7" s="30" t="s">
        <v>45</v>
      </c>
      <c r="D7" s="30" t="s">
        <v>46</v>
      </c>
      <c r="E7" s="30" t="s">
        <v>21</v>
      </c>
      <c r="F7" s="30" t="s">
        <v>47</v>
      </c>
      <c r="G7" s="30">
        <v>2.0</v>
      </c>
      <c r="H7" s="30" t="s">
        <v>48</v>
      </c>
      <c r="I7" s="31">
        <v>45078.0</v>
      </c>
      <c r="J7" s="31">
        <v>46174.0</v>
      </c>
      <c r="K7" s="33">
        <v>47270.0</v>
      </c>
      <c r="L7" s="30">
        <v>2.0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29" t="s">
        <v>49</v>
      </c>
      <c r="B8" s="30" t="s">
        <v>50</v>
      </c>
      <c r="C8" s="30" t="s">
        <v>51</v>
      </c>
      <c r="D8" s="30" t="s">
        <v>52</v>
      </c>
      <c r="E8" s="30" t="s">
        <v>21</v>
      </c>
      <c r="F8" s="30" t="s">
        <v>53</v>
      </c>
      <c r="G8" s="34">
        <v>45355.0</v>
      </c>
      <c r="H8" s="30" t="s">
        <v>48</v>
      </c>
      <c r="I8" s="31">
        <v>45078.0</v>
      </c>
      <c r="J8" s="31">
        <v>46174.0</v>
      </c>
      <c r="K8" s="33">
        <v>47270.0</v>
      </c>
      <c r="L8" s="30">
        <v>2.0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29" t="s">
        <v>54</v>
      </c>
      <c r="B9" s="30" t="s">
        <v>55</v>
      </c>
      <c r="C9" s="30" t="s">
        <v>56</v>
      </c>
      <c r="D9" s="30" t="s">
        <v>57</v>
      </c>
      <c r="E9" s="30" t="s">
        <v>21</v>
      </c>
      <c r="F9" s="30" t="s">
        <v>58</v>
      </c>
      <c r="G9" s="30">
        <v>1.0</v>
      </c>
      <c r="H9" s="30" t="s">
        <v>48</v>
      </c>
      <c r="I9" s="31">
        <v>45078.0</v>
      </c>
      <c r="J9" s="32"/>
      <c r="K9" s="33">
        <v>46174.0</v>
      </c>
      <c r="L9" s="30">
        <v>1.0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29" t="s">
        <v>59</v>
      </c>
      <c r="B10" s="30" t="s">
        <v>60</v>
      </c>
      <c r="C10" s="30" t="s">
        <v>61</v>
      </c>
      <c r="D10" s="30" t="s">
        <v>27</v>
      </c>
      <c r="E10" s="30" t="s">
        <v>21</v>
      </c>
      <c r="F10" s="30" t="s">
        <v>62</v>
      </c>
      <c r="G10" s="30">
        <v>4.0</v>
      </c>
      <c r="H10" s="30" t="s">
        <v>48</v>
      </c>
      <c r="I10" s="31">
        <v>45078.0</v>
      </c>
      <c r="J10" s="31">
        <v>46174.0</v>
      </c>
      <c r="K10" s="33">
        <v>47270.0</v>
      </c>
      <c r="L10" s="30">
        <v>2.0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29" t="s">
        <v>63</v>
      </c>
      <c r="B11" s="30" t="s">
        <v>25</v>
      </c>
      <c r="C11" s="30" t="s">
        <v>64</v>
      </c>
      <c r="D11" s="30" t="s">
        <v>65</v>
      </c>
      <c r="E11" s="30" t="s">
        <v>21</v>
      </c>
      <c r="F11" s="30" t="s">
        <v>66</v>
      </c>
      <c r="G11" s="30" t="s">
        <v>35</v>
      </c>
      <c r="H11" s="30" t="s">
        <v>67</v>
      </c>
      <c r="I11" s="31">
        <v>45444.0</v>
      </c>
      <c r="J11" s="32"/>
      <c r="K11" s="33">
        <v>46539.0</v>
      </c>
      <c r="L11" s="30">
        <v>1.0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29" t="s">
        <v>68</v>
      </c>
      <c r="B12" s="30" t="s">
        <v>69</v>
      </c>
      <c r="C12" s="30" t="s">
        <v>70</v>
      </c>
      <c r="D12" s="30" t="s">
        <v>71</v>
      </c>
      <c r="E12" s="35"/>
      <c r="F12" s="30" t="s">
        <v>72</v>
      </c>
      <c r="G12" s="30" t="s">
        <v>29</v>
      </c>
      <c r="H12" s="30" t="s">
        <v>73</v>
      </c>
      <c r="I12" s="31">
        <v>45444.0</v>
      </c>
      <c r="J12" s="32"/>
      <c r="K12" s="33">
        <v>46539.0</v>
      </c>
      <c r="L12" s="30">
        <v>1.0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29" t="s">
        <v>74</v>
      </c>
      <c r="B13" s="30" t="s">
        <v>75</v>
      </c>
      <c r="C13" s="30" t="s">
        <v>76</v>
      </c>
      <c r="D13" s="30" t="s">
        <v>77</v>
      </c>
      <c r="E13" s="30" t="s">
        <v>21</v>
      </c>
      <c r="F13" s="30" t="s">
        <v>78</v>
      </c>
      <c r="G13" s="30" t="s">
        <v>79</v>
      </c>
      <c r="H13" s="30" t="s">
        <v>80</v>
      </c>
      <c r="I13" s="31">
        <v>44713.0</v>
      </c>
      <c r="J13" s="32"/>
      <c r="K13" s="33">
        <v>45809.0</v>
      </c>
      <c r="L13" s="30">
        <v>1.0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29" t="s">
        <v>81</v>
      </c>
      <c r="B14" s="30" t="s">
        <v>82</v>
      </c>
      <c r="C14" s="30" t="s">
        <v>83</v>
      </c>
      <c r="D14" s="30" t="s">
        <v>84</v>
      </c>
      <c r="E14" s="30" t="s">
        <v>21</v>
      </c>
      <c r="F14" s="30" t="s">
        <v>78</v>
      </c>
      <c r="G14" s="30" t="s">
        <v>85</v>
      </c>
      <c r="H14" s="30" t="s">
        <v>86</v>
      </c>
      <c r="I14" s="31">
        <v>44713.0</v>
      </c>
      <c r="J14" s="32"/>
      <c r="K14" s="33">
        <v>45809.0</v>
      </c>
      <c r="L14" s="30">
        <v>1.0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29" t="s">
        <v>87</v>
      </c>
      <c r="B15" s="30" t="s">
        <v>88</v>
      </c>
      <c r="C15" s="30" t="s">
        <v>89</v>
      </c>
      <c r="D15" s="30" t="s">
        <v>90</v>
      </c>
      <c r="E15" s="35"/>
      <c r="F15" s="30" t="s">
        <v>72</v>
      </c>
      <c r="G15" s="30" t="s">
        <v>91</v>
      </c>
      <c r="H15" s="30" t="s">
        <v>67</v>
      </c>
      <c r="I15" s="31">
        <v>45444.0</v>
      </c>
      <c r="J15" s="32"/>
      <c r="K15" s="33">
        <v>46539.0</v>
      </c>
      <c r="L15" s="30">
        <v>1.0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29" t="s">
        <v>92</v>
      </c>
      <c r="B16" s="30" t="s">
        <v>93</v>
      </c>
      <c r="C16" s="30" t="s">
        <v>94</v>
      </c>
      <c r="D16" s="30" t="s">
        <v>95</v>
      </c>
      <c r="E16" s="30" t="s">
        <v>21</v>
      </c>
      <c r="F16" s="30" t="s">
        <v>96</v>
      </c>
      <c r="G16" s="30" t="s">
        <v>97</v>
      </c>
      <c r="H16" s="30" t="s">
        <v>98</v>
      </c>
      <c r="I16" s="31">
        <v>44713.0</v>
      </c>
      <c r="J16" s="31">
        <v>45809.0</v>
      </c>
      <c r="K16" s="33">
        <v>46905.0</v>
      </c>
      <c r="L16" s="30">
        <v>2.0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29" t="s">
        <v>99</v>
      </c>
      <c r="B17" s="30" t="s">
        <v>100</v>
      </c>
      <c r="C17" s="30" t="s">
        <v>101</v>
      </c>
      <c r="D17" s="30" t="s">
        <v>102</v>
      </c>
      <c r="E17" s="35"/>
      <c r="F17" s="30" t="s">
        <v>66</v>
      </c>
      <c r="G17" s="30" t="s">
        <v>29</v>
      </c>
      <c r="H17" s="30" t="s">
        <v>103</v>
      </c>
      <c r="I17" s="31">
        <v>45444.0</v>
      </c>
      <c r="J17" s="32"/>
      <c r="K17" s="33">
        <v>46539.0</v>
      </c>
      <c r="L17" s="30">
        <v>1.0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29" t="s">
        <v>104</v>
      </c>
      <c r="B18" s="30" t="s">
        <v>105</v>
      </c>
      <c r="C18" s="30" t="s">
        <v>106</v>
      </c>
      <c r="D18" s="30" t="s">
        <v>107</v>
      </c>
      <c r="E18" s="35"/>
      <c r="F18" s="30" t="s">
        <v>72</v>
      </c>
      <c r="G18" s="30" t="s">
        <v>35</v>
      </c>
      <c r="H18" s="30" t="s">
        <v>108</v>
      </c>
      <c r="I18" s="31">
        <v>45444.0</v>
      </c>
      <c r="J18" s="32"/>
      <c r="K18" s="33">
        <v>46539.0</v>
      </c>
      <c r="L18" s="30">
        <v>1.0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9" t="s">
        <v>109</v>
      </c>
      <c r="B19" s="30" t="s">
        <v>110</v>
      </c>
      <c r="C19" s="30" t="s">
        <v>111</v>
      </c>
      <c r="D19" s="30" t="s">
        <v>112</v>
      </c>
      <c r="E19" s="30" t="s">
        <v>21</v>
      </c>
      <c r="F19" s="30" t="s">
        <v>113</v>
      </c>
      <c r="G19" s="30" t="s">
        <v>85</v>
      </c>
      <c r="H19" s="30" t="s">
        <v>42</v>
      </c>
      <c r="I19" s="31">
        <v>44713.0</v>
      </c>
      <c r="J19" s="32"/>
      <c r="K19" s="33">
        <v>45809.0</v>
      </c>
      <c r="L19" s="30">
        <v>1.0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6" t="s">
        <v>114</v>
      </c>
      <c r="B20" s="37" t="s">
        <v>82</v>
      </c>
      <c r="C20" s="37" t="s">
        <v>115</v>
      </c>
      <c r="D20" s="37" t="s">
        <v>27</v>
      </c>
      <c r="E20" s="37" t="s">
        <v>21</v>
      </c>
      <c r="F20" s="37" t="s">
        <v>78</v>
      </c>
      <c r="G20" s="37" t="s">
        <v>85</v>
      </c>
      <c r="H20" s="37" t="s">
        <v>116</v>
      </c>
      <c r="I20" s="38">
        <v>44713.0</v>
      </c>
      <c r="J20" s="39"/>
      <c r="K20" s="40">
        <v>45809.0</v>
      </c>
      <c r="L20" s="37">
        <v>1.0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41" t="s">
        <v>117</v>
      </c>
      <c r="B21" s="42" t="s">
        <v>118</v>
      </c>
      <c r="C21" s="43"/>
      <c r="D21" s="43"/>
      <c r="E21" s="43"/>
      <c r="F21" s="42" t="s">
        <v>119</v>
      </c>
      <c r="G21" s="43"/>
      <c r="H21" s="43"/>
      <c r="I21" s="44">
        <v>45444.0</v>
      </c>
      <c r="J21" s="44">
        <v>46539.0</v>
      </c>
      <c r="K21" s="45">
        <v>47635.0</v>
      </c>
      <c r="L21" s="46">
        <v>2.0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29" t="s">
        <v>120</v>
      </c>
      <c r="B22" s="30" t="s">
        <v>121</v>
      </c>
      <c r="C22" s="30" t="s">
        <v>122</v>
      </c>
      <c r="D22" s="30" t="s">
        <v>20</v>
      </c>
      <c r="E22" s="30" t="s">
        <v>21</v>
      </c>
      <c r="F22" s="30" t="s">
        <v>123</v>
      </c>
      <c r="G22" s="30" t="s">
        <v>35</v>
      </c>
      <c r="H22" s="30" t="s">
        <v>124</v>
      </c>
      <c r="I22" s="31">
        <v>43617.0</v>
      </c>
      <c r="J22" s="32"/>
      <c r="K22" s="33">
        <v>45809.0</v>
      </c>
      <c r="L22" s="30">
        <v>1.0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29" t="s">
        <v>125</v>
      </c>
      <c r="B23" s="30" t="s">
        <v>126</v>
      </c>
      <c r="C23" s="30" t="s">
        <v>127</v>
      </c>
      <c r="D23" s="30" t="s">
        <v>128</v>
      </c>
      <c r="E23" s="35"/>
      <c r="F23" s="30" t="s">
        <v>66</v>
      </c>
      <c r="G23" s="30" t="s">
        <v>29</v>
      </c>
      <c r="H23" s="30" t="s">
        <v>129</v>
      </c>
      <c r="I23" s="31">
        <v>45444.0</v>
      </c>
      <c r="J23" s="32"/>
      <c r="K23" s="33">
        <v>46539.0</v>
      </c>
      <c r="L23" s="30">
        <v>1.0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29" t="s">
        <v>130</v>
      </c>
      <c r="B24" s="30" t="s">
        <v>131</v>
      </c>
      <c r="C24" s="30" t="s">
        <v>132</v>
      </c>
      <c r="D24" s="30" t="s">
        <v>20</v>
      </c>
      <c r="E24" s="30" t="s">
        <v>21</v>
      </c>
      <c r="F24" s="30" t="s">
        <v>78</v>
      </c>
      <c r="G24" s="30" t="s">
        <v>41</v>
      </c>
      <c r="H24" s="30" t="s">
        <v>133</v>
      </c>
      <c r="I24" s="31">
        <v>44713.0</v>
      </c>
      <c r="J24" s="32"/>
      <c r="K24" s="33">
        <v>45809.0</v>
      </c>
      <c r="L24" s="30">
        <v>1.0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29" t="s">
        <v>134</v>
      </c>
      <c r="B25" s="30" t="s">
        <v>135</v>
      </c>
      <c r="C25" s="30" t="s">
        <v>136</v>
      </c>
      <c r="D25" s="30" t="s">
        <v>137</v>
      </c>
      <c r="E25" s="30" t="s">
        <v>21</v>
      </c>
      <c r="F25" s="30" t="s">
        <v>138</v>
      </c>
      <c r="G25" s="30" t="s">
        <v>35</v>
      </c>
      <c r="H25" s="30" t="s">
        <v>139</v>
      </c>
      <c r="I25" s="31">
        <v>45444.0</v>
      </c>
      <c r="J25" s="32"/>
      <c r="K25" s="33">
        <v>46539.0</v>
      </c>
      <c r="L25" s="30">
        <v>1.0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29" t="s">
        <v>140</v>
      </c>
      <c r="B26" s="30" t="s">
        <v>141</v>
      </c>
      <c r="C26" s="30" t="s">
        <v>142</v>
      </c>
      <c r="D26" s="30" t="s">
        <v>20</v>
      </c>
      <c r="E26" s="30" t="s">
        <v>21</v>
      </c>
      <c r="F26" s="30" t="s">
        <v>143</v>
      </c>
      <c r="G26" s="35"/>
      <c r="H26" s="35"/>
      <c r="I26" s="31">
        <v>45078.0</v>
      </c>
      <c r="J26" s="31">
        <v>46539.0</v>
      </c>
      <c r="K26" s="33">
        <v>47635.0</v>
      </c>
      <c r="L26" s="30">
        <v>2.0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29" t="s">
        <v>144</v>
      </c>
      <c r="B27" s="30" t="s">
        <v>32</v>
      </c>
      <c r="C27" s="30" t="s">
        <v>145</v>
      </c>
      <c r="D27" s="30" t="s">
        <v>146</v>
      </c>
      <c r="E27" s="35"/>
      <c r="F27" s="30" t="s">
        <v>147</v>
      </c>
      <c r="G27" s="30" t="s">
        <v>29</v>
      </c>
      <c r="H27" s="30" t="s">
        <v>148</v>
      </c>
      <c r="I27" s="31">
        <v>45444.0</v>
      </c>
      <c r="J27" s="32"/>
      <c r="K27" s="33">
        <v>46539.0</v>
      </c>
      <c r="L27" s="30">
        <v>1.0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29" t="s">
        <v>149</v>
      </c>
      <c r="B28" s="30" t="s">
        <v>150</v>
      </c>
      <c r="C28" s="30" t="s">
        <v>151</v>
      </c>
      <c r="D28" s="30" t="s">
        <v>152</v>
      </c>
      <c r="E28" s="35"/>
      <c r="F28" s="30" t="s">
        <v>153</v>
      </c>
      <c r="G28" s="30" t="s">
        <v>29</v>
      </c>
      <c r="H28" s="30" t="s">
        <v>154</v>
      </c>
      <c r="I28" s="31">
        <v>45444.0</v>
      </c>
      <c r="J28" s="32"/>
      <c r="K28" s="33">
        <v>46539.0</v>
      </c>
      <c r="L28" s="30">
        <v>1.0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29" t="s">
        <v>155</v>
      </c>
      <c r="B29" s="30" t="s">
        <v>118</v>
      </c>
      <c r="C29" s="30" t="s">
        <v>156</v>
      </c>
      <c r="D29" s="30" t="s">
        <v>65</v>
      </c>
      <c r="E29" s="35"/>
      <c r="F29" s="30" t="s">
        <v>157</v>
      </c>
      <c r="G29" s="30" t="s">
        <v>29</v>
      </c>
      <c r="H29" s="30" t="s">
        <v>67</v>
      </c>
      <c r="I29" s="31">
        <v>45444.0</v>
      </c>
      <c r="J29" s="32"/>
      <c r="K29" s="33">
        <v>46539.0</v>
      </c>
      <c r="L29" s="30">
        <v>1.0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29" t="s">
        <v>155</v>
      </c>
      <c r="B30" s="30" t="s">
        <v>158</v>
      </c>
      <c r="C30" s="30" t="s">
        <v>159</v>
      </c>
      <c r="D30" s="30" t="s">
        <v>160</v>
      </c>
      <c r="E30" s="35"/>
      <c r="F30" s="30" t="s">
        <v>157</v>
      </c>
      <c r="G30" s="30" t="s">
        <v>91</v>
      </c>
      <c r="H30" s="30" t="s">
        <v>73</v>
      </c>
      <c r="I30" s="31">
        <v>45444.0</v>
      </c>
      <c r="J30" s="32"/>
      <c r="K30" s="33">
        <v>46539.0</v>
      </c>
      <c r="L30" s="30">
        <v>1.0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29" t="s">
        <v>155</v>
      </c>
      <c r="B31" s="30" t="s">
        <v>161</v>
      </c>
      <c r="C31" s="30" t="s">
        <v>162</v>
      </c>
      <c r="D31" s="30" t="s">
        <v>163</v>
      </c>
      <c r="E31" s="35"/>
      <c r="F31" s="30" t="s">
        <v>66</v>
      </c>
      <c r="G31" s="30" t="s">
        <v>35</v>
      </c>
      <c r="H31" s="30" t="s">
        <v>164</v>
      </c>
      <c r="I31" s="31">
        <v>45444.0</v>
      </c>
      <c r="J31" s="32"/>
      <c r="K31" s="33">
        <v>46539.0</v>
      </c>
      <c r="L31" s="30">
        <v>1.0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29" t="s">
        <v>165</v>
      </c>
      <c r="B32" s="30" t="s">
        <v>166</v>
      </c>
      <c r="C32" s="30" t="s">
        <v>167</v>
      </c>
      <c r="D32" s="30" t="s">
        <v>137</v>
      </c>
      <c r="E32" s="35"/>
      <c r="F32" s="30" t="s">
        <v>157</v>
      </c>
      <c r="G32" s="30" t="s">
        <v>29</v>
      </c>
      <c r="H32" s="30" t="s">
        <v>168</v>
      </c>
      <c r="I32" s="31">
        <v>45444.0</v>
      </c>
      <c r="J32" s="32"/>
      <c r="K32" s="33">
        <v>46539.0</v>
      </c>
      <c r="L32" s="30">
        <v>1.0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29" t="s">
        <v>169</v>
      </c>
      <c r="B33" s="30" t="s">
        <v>170</v>
      </c>
      <c r="C33" s="30" t="s">
        <v>171</v>
      </c>
      <c r="D33" s="30" t="s">
        <v>27</v>
      </c>
      <c r="E33" s="35"/>
      <c r="F33" s="30" t="s">
        <v>66</v>
      </c>
      <c r="G33" s="30" t="s">
        <v>35</v>
      </c>
      <c r="H33" s="30" t="s">
        <v>172</v>
      </c>
      <c r="I33" s="31">
        <v>45444.0</v>
      </c>
      <c r="J33" s="32"/>
      <c r="K33" s="33">
        <v>46539.0</v>
      </c>
      <c r="L33" s="30">
        <v>1.0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29" t="s">
        <v>173</v>
      </c>
      <c r="B34" s="30" t="s">
        <v>174</v>
      </c>
      <c r="C34" s="30" t="s">
        <v>175</v>
      </c>
      <c r="D34" s="30" t="s">
        <v>176</v>
      </c>
      <c r="E34" s="30" t="s">
        <v>177</v>
      </c>
      <c r="F34" s="30" t="s">
        <v>178</v>
      </c>
      <c r="G34" s="30" t="s">
        <v>35</v>
      </c>
      <c r="H34" s="30" t="s">
        <v>36</v>
      </c>
      <c r="I34" s="31">
        <v>45078.0</v>
      </c>
      <c r="J34" s="31">
        <v>46539.0</v>
      </c>
      <c r="K34" s="33">
        <v>47635.0</v>
      </c>
      <c r="L34" s="30">
        <v>2.0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29" t="s">
        <v>179</v>
      </c>
      <c r="B35" s="30" t="s">
        <v>180</v>
      </c>
      <c r="C35" s="35"/>
      <c r="D35" s="35"/>
      <c r="E35" s="30" t="s">
        <v>21</v>
      </c>
      <c r="F35" s="30" t="s">
        <v>181</v>
      </c>
      <c r="G35" s="30" t="s">
        <v>29</v>
      </c>
      <c r="H35" s="30" t="s">
        <v>36</v>
      </c>
      <c r="I35" s="31">
        <v>45444.0</v>
      </c>
      <c r="J35" s="32"/>
      <c r="K35" s="33">
        <v>46539.0</v>
      </c>
      <c r="L35" s="30">
        <v>1.0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29" t="s">
        <v>182</v>
      </c>
      <c r="B36" s="30" t="s">
        <v>183</v>
      </c>
      <c r="C36" s="30" t="s">
        <v>184</v>
      </c>
      <c r="D36" s="30" t="s">
        <v>185</v>
      </c>
      <c r="E36" s="30" t="s">
        <v>21</v>
      </c>
      <c r="F36" s="30" t="s">
        <v>47</v>
      </c>
      <c r="G36" s="30">
        <v>3.0</v>
      </c>
      <c r="H36" s="30" t="s">
        <v>186</v>
      </c>
      <c r="I36" s="31">
        <v>45078.0</v>
      </c>
      <c r="J36" s="32"/>
      <c r="K36" s="33">
        <v>46174.0</v>
      </c>
      <c r="L36" s="30">
        <v>1.0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29" t="s">
        <v>150</v>
      </c>
      <c r="B37" s="30" t="s">
        <v>187</v>
      </c>
      <c r="C37" s="35"/>
      <c r="D37" s="35"/>
      <c r="E37" s="30" t="s">
        <v>21</v>
      </c>
      <c r="F37" s="35"/>
      <c r="G37" s="35"/>
      <c r="H37" s="30" t="s">
        <v>188</v>
      </c>
      <c r="I37" s="31">
        <v>44348.0</v>
      </c>
      <c r="J37" s="32"/>
      <c r="K37" s="33">
        <v>46539.0</v>
      </c>
      <c r="L37" s="30">
        <v>1.0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29" t="s">
        <v>189</v>
      </c>
      <c r="B38" s="30" t="s">
        <v>190</v>
      </c>
      <c r="C38" s="30" t="s">
        <v>191</v>
      </c>
      <c r="D38" s="30" t="s">
        <v>192</v>
      </c>
      <c r="E38" s="35"/>
      <c r="F38" s="30" t="s">
        <v>66</v>
      </c>
      <c r="G38" s="30" t="s">
        <v>35</v>
      </c>
      <c r="H38" s="30" t="s">
        <v>108</v>
      </c>
      <c r="I38" s="31">
        <v>45444.0</v>
      </c>
      <c r="J38" s="32"/>
      <c r="K38" s="33">
        <v>46539.0</v>
      </c>
      <c r="L38" s="30">
        <v>1.0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29" t="s">
        <v>193</v>
      </c>
      <c r="B39" s="30" t="s">
        <v>194</v>
      </c>
      <c r="C39" s="30" t="s">
        <v>195</v>
      </c>
      <c r="D39" s="30" t="s">
        <v>57</v>
      </c>
      <c r="E39" s="35"/>
      <c r="F39" s="30" t="s">
        <v>196</v>
      </c>
      <c r="G39" s="30" t="s">
        <v>91</v>
      </c>
      <c r="H39" s="30" t="s">
        <v>129</v>
      </c>
      <c r="I39" s="31">
        <v>45444.0</v>
      </c>
      <c r="J39" s="32"/>
      <c r="K39" s="33">
        <v>46539.0</v>
      </c>
      <c r="L39" s="30">
        <v>1.0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29" t="s">
        <v>197</v>
      </c>
      <c r="B40" s="30" t="s">
        <v>198</v>
      </c>
      <c r="C40" s="30" t="s">
        <v>199</v>
      </c>
      <c r="D40" s="30" t="s">
        <v>200</v>
      </c>
      <c r="E40" s="30" t="s">
        <v>21</v>
      </c>
      <c r="F40" s="30" t="s">
        <v>201</v>
      </c>
      <c r="G40" s="30">
        <v>3.0</v>
      </c>
      <c r="H40" s="30" t="s">
        <v>202</v>
      </c>
      <c r="I40" s="31">
        <v>45078.0</v>
      </c>
      <c r="J40" s="32"/>
      <c r="K40" s="33">
        <v>46174.0</v>
      </c>
      <c r="L40" s="30">
        <v>1.0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29" t="s">
        <v>203</v>
      </c>
      <c r="B41" s="30" t="s">
        <v>204</v>
      </c>
      <c r="C41" s="30" t="s">
        <v>205</v>
      </c>
      <c r="D41" s="30" t="s">
        <v>137</v>
      </c>
      <c r="E41" s="30" t="s">
        <v>21</v>
      </c>
      <c r="F41" s="30" t="s">
        <v>47</v>
      </c>
      <c r="G41" s="30">
        <v>3.0</v>
      </c>
      <c r="H41" s="30" t="s">
        <v>206</v>
      </c>
      <c r="I41" s="31">
        <v>45078.0</v>
      </c>
      <c r="J41" s="32"/>
      <c r="K41" s="33">
        <v>46174.0</v>
      </c>
      <c r="L41" s="30">
        <v>1.0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29" t="s">
        <v>207</v>
      </c>
      <c r="B42" s="30" t="s">
        <v>208</v>
      </c>
      <c r="C42" s="30" t="s">
        <v>209</v>
      </c>
      <c r="D42" s="30" t="s">
        <v>46</v>
      </c>
      <c r="E42" s="30" t="s">
        <v>21</v>
      </c>
      <c r="F42" s="30" t="s">
        <v>210</v>
      </c>
      <c r="G42" s="30">
        <v>2.0</v>
      </c>
      <c r="H42" s="30" t="s">
        <v>48</v>
      </c>
      <c r="I42" s="31">
        <v>45078.0</v>
      </c>
      <c r="J42" s="31">
        <v>46174.0</v>
      </c>
      <c r="K42" s="33">
        <v>47270.0</v>
      </c>
      <c r="L42" s="30">
        <v>2.0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29" t="s">
        <v>211</v>
      </c>
      <c r="B43" s="30" t="s">
        <v>212</v>
      </c>
      <c r="C43" s="35"/>
      <c r="D43" s="35"/>
      <c r="E43" s="35"/>
      <c r="F43" s="30" t="s">
        <v>213</v>
      </c>
      <c r="G43" s="30" t="s">
        <v>91</v>
      </c>
      <c r="H43" s="30" t="s">
        <v>36</v>
      </c>
      <c r="I43" s="31">
        <v>45444.0</v>
      </c>
      <c r="J43" s="32"/>
      <c r="K43" s="33">
        <v>46539.0</v>
      </c>
      <c r="L43" s="30">
        <v>1.0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29" t="s">
        <v>214</v>
      </c>
      <c r="B44" s="30" t="s">
        <v>215</v>
      </c>
      <c r="C44" s="30" t="s">
        <v>216</v>
      </c>
      <c r="D44" s="30" t="s">
        <v>217</v>
      </c>
      <c r="E44" s="35"/>
      <c r="F44" s="30" t="s">
        <v>147</v>
      </c>
      <c r="G44" s="30" t="s">
        <v>91</v>
      </c>
      <c r="H44" s="30" t="s">
        <v>108</v>
      </c>
      <c r="I44" s="31">
        <v>45444.0</v>
      </c>
      <c r="J44" s="32"/>
      <c r="K44" s="33">
        <v>46539.0</v>
      </c>
      <c r="L44" s="30">
        <v>1.0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29" t="s">
        <v>218</v>
      </c>
      <c r="B45" s="30" t="s">
        <v>219</v>
      </c>
      <c r="C45" s="30" t="s">
        <v>220</v>
      </c>
      <c r="D45" s="30" t="s">
        <v>71</v>
      </c>
      <c r="E45" s="35"/>
      <c r="F45" s="30" t="s">
        <v>72</v>
      </c>
      <c r="G45" s="30" t="s">
        <v>91</v>
      </c>
      <c r="H45" s="30" t="s">
        <v>73</v>
      </c>
      <c r="I45" s="31">
        <v>45444.0</v>
      </c>
      <c r="J45" s="32"/>
      <c r="K45" s="33">
        <v>46539.0</v>
      </c>
      <c r="L45" s="30">
        <v>1.0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29" t="s">
        <v>221</v>
      </c>
      <c r="B46" s="30" t="s">
        <v>222</v>
      </c>
      <c r="C46" s="30" t="s">
        <v>223</v>
      </c>
      <c r="D46" s="30" t="s">
        <v>20</v>
      </c>
      <c r="E46" s="30" t="s">
        <v>21</v>
      </c>
      <c r="F46" s="30" t="s">
        <v>58</v>
      </c>
      <c r="G46" s="30">
        <v>2.0</v>
      </c>
      <c r="H46" s="30" t="s">
        <v>224</v>
      </c>
      <c r="I46" s="31">
        <v>45078.0</v>
      </c>
      <c r="J46" s="32"/>
      <c r="K46" s="33">
        <v>46174.0</v>
      </c>
      <c r="L46" s="30">
        <v>1.0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29" t="s">
        <v>225</v>
      </c>
      <c r="B47" s="30" t="s">
        <v>226</v>
      </c>
      <c r="C47" s="30" t="s">
        <v>227</v>
      </c>
      <c r="D47" s="30" t="s">
        <v>27</v>
      </c>
      <c r="E47" s="30" t="s">
        <v>21</v>
      </c>
      <c r="F47" s="30" t="s">
        <v>78</v>
      </c>
      <c r="G47" s="30" t="s">
        <v>85</v>
      </c>
      <c r="H47" s="30" t="s">
        <v>116</v>
      </c>
      <c r="I47" s="31">
        <v>44713.0</v>
      </c>
      <c r="J47" s="32"/>
      <c r="K47" s="33">
        <v>45809.0</v>
      </c>
      <c r="L47" s="30">
        <v>1.0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29" t="s">
        <v>228</v>
      </c>
      <c r="B48" s="30" t="s">
        <v>229</v>
      </c>
      <c r="C48" s="30" t="s">
        <v>230</v>
      </c>
      <c r="D48" s="30" t="s">
        <v>46</v>
      </c>
      <c r="E48" s="30" t="s">
        <v>21</v>
      </c>
      <c r="F48" s="30" t="s">
        <v>231</v>
      </c>
      <c r="G48" s="30" t="s">
        <v>35</v>
      </c>
      <c r="H48" s="30" t="s">
        <v>124</v>
      </c>
      <c r="I48" s="31">
        <v>43617.0</v>
      </c>
      <c r="J48" s="32"/>
      <c r="K48" s="33">
        <v>45809.0</v>
      </c>
      <c r="L48" s="30">
        <v>1.0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29" t="s">
        <v>232</v>
      </c>
      <c r="B49" s="30" t="s">
        <v>156</v>
      </c>
      <c r="C49" s="30" t="s">
        <v>233</v>
      </c>
      <c r="D49" s="30" t="s">
        <v>234</v>
      </c>
      <c r="E49" s="30" t="s">
        <v>21</v>
      </c>
      <c r="F49" s="30" t="s">
        <v>138</v>
      </c>
      <c r="G49" s="30" t="s">
        <v>35</v>
      </c>
      <c r="H49" s="30" t="s">
        <v>36</v>
      </c>
      <c r="I49" s="31">
        <v>45444.0</v>
      </c>
      <c r="J49" s="31">
        <v>46539.0</v>
      </c>
      <c r="K49" s="33">
        <v>47635.0</v>
      </c>
      <c r="L49" s="30">
        <v>2.0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29" t="s">
        <v>235</v>
      </c>
      <c r="B50" s="30" t="s">
        <v>236</v>
      </c>
      <c r="C50" s="30" t="s">
        <v>237</v>
      </c>
      <c r="D50" s="30" t="s">
        <v>27</v>
      </c>
      <c r="E50" s="30" t="s">
        <v>21</v>
      </c>
      <c r="F50" s="30" t="s">
        <v>47</v>
      </c>
      <c r="G50" s="30">
        <v>2.0</v>
      </c>
      <c r="H50" s="30" t="s">
        <v>206</v>
      </c>
      <c r="I50" s="31">
        <v>45078.0</v>
      </c>
      <c r="J50" s="32"/>
      <c r="K50" s="33">
        <v>46174.0</v>
      </c>
      <c r="L50" s="30">
        <v>1.0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29" t="s">
        <v>238</v>
      </c>
      <c r="B51" s="30" t="s">
        <v>239</v>
      </c>
      <c r="C51" s="30" t="s">
        <v>240</v>
      </c>
      <c r="D51" s="30" t="s">
        <v>234</v>
      </c>
      <c r="E51" s="30" t="s">
        <v>21</v>
      </c>
      <c r="F51" s="30" t="s">
        <v>201</v>
      </c>
      <c r="G51" s="30">
        <v>1.0</v>
      </c>
      <c r="H51" s="30" t="s">
        <v>206</v>
      </c>
      <c r="I51" s="31">
        <v>45078.0</v>
      </c>
      <c r="J51" s="32"/>
      <c r="K51" s="33">
        <v>46174.0</v>
      </c>
      <c r="L51" s="30">
        <v>1.0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29" t="s">
        <v>241</v>
      </c>
      <c r="B52" s="30" t="s">
        <v>242</v>
      </c>
      <c r="C52" s="35"/>
      <c r="D52" s="35"/>
      <c r="E52" s="30" t="s">
        <v>177</v>
      </c>
      <c r="F52" s="30" t="s">
        <v>243</v>
      </c>
      <c r="G52" s="30">
        <v>1.0</v>
      </c>
      <c r="H52" s="30" t="s">
        <v>244</v>
      </c>
      <c r="I52" s="31">
        <v>45078.0</v>
      </c>
      <c r="J52" s="32"/>
      <c r="K52" s="33">
        <v>46174.0</v>
      </c>
      <c r="L52" s="30">
        <v>1.0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29" t="s">
        <v>245</v>
      </c>
      <c r="B53" s="30" t="s">
        <v>246</v>
      </c>
      <c r="C53" s="30" t="s">
        <v>247</v>
      </c>
      <c r="D53" s="30" t="s">
        <v>128</v>
      </c>
      <c r="E53" s="30" t="s">
        <v>21</v>
      </c>
      <c r="F53" s="30" t="s">
        <v>248</v>
      </c>
      <c r="G53" s="30" t="s">
        <v>85</v>
      </c>
      <c r="H53" s="30" t="s">
        <v>249</v>
      </c>
      <c r="I53" s="31">
        <v>44713.0</v>
      </c>
      <c r="J53" s="32"/>
      <c r="K53" s="33">
        <v>45809.0</v>
      </c>
      <c r="L53" s="30">
        <v>1.0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29" t="s">
        <v>250</v>
      </c>
      <c r="B54" s="30" t="s">
        <v>251</v>
      </c>
      <c r="C54" s="30" t="s">
        <v>252</v>
      </c>
      <c r="D54" s="30" t="s">
        <v>102</v>
      </c>
      <c r="E54" s="30" t="s">
        <v>21</v>
      </c>
      <c r="F54" s="30" t="s">
        <v>253</v>
      </c>
      <c r="G54" s="30">
        <v>1.0</v>
      </c>
      <c r="H54" s="30" t="s">
        <v>48</v>
      </c>
      <c r="I54" s="31">
        <v>45078.0</v>
      </c>
      <c r="J54" s="32"/>
      <c r="K54" s="33">
        <v>46174.0</v>
      </c>
      <c r="L54" s="30">
        <v>1.0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29" t="s">
        <v>254</v>
      </c>
      <c r="B55" s="30" t="s">
        <v>255</v>
      </c>
      <c r="C55" s="30" t="s">
        <v>256</v>
      </c>
      <c r="D55" s="30" t="s">
        <v>102</v>
      </c>
      <c r="E55" s="30" t="s">
        <v>21</v>
      </c>
      <c r="F55" s="30" t="s">
        <v>196</v>
      </c>
      <c r="G55" s="30" t="s">
        <v>29</v>
      </c>
      <c r="H55" s="30" t="s">
        <v>36</v>
      </c>
      <c r="I55" s="31">
        <v>45444.0</v>
      </c>
      <c r="J55" s="31">
        <v>46539.0</v>
      </c>
      <c r="K55" s="33">
        <v>47635.0</v>
      </c>
      <c r="L55" s="30">
        <v>2.0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29" t="s">
        <v>257</v>
      </c>
      <c r="B56" s="30" t="s">
        <v>258</v>
      </c>
      <c r="C56" s="30" t="s">
        <v>259</v>
      </c>
      <c r="D56" s="30" t="s">
        <v>137</v>
      </c>
      <c r="E56" s="35"/>
      <c r="F56" s="30" t="s">
        <v>147</v>
      </c>
      <c r="G56" s="30" t="s">
        <v>35</v>
      </c>
      <c r="H56" s="30" t="s">
        <v>73</v>
      </c>
      <c r="I56" s="31">
        <v>45444.0</v>
      </c>
      <c r="J56" s="32"/>
      <c r="K56" s="33">
        <v>46539.0</v>
      </c>
      <c r="L56" s="30">
        <v>1.0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29" t="s">
        <v>260</v>
      </c>
      <c r="B57" s="30" t="s">
        <v>261</v>
      </c>
      <c r="C57" s="30" t="s">
        <v>262</v>
      </c>
      <c r="D57" s="30" t="s">
        <v>65</v>
      </c>
      <c r="E57" s="35"/>
      <c r="F57" s="30" t="s">
        <v>157</v>
      </c>
      <c r="G57" s="30" t="s">
        <v>35</v>
      </c>
      <c r="H57" s="30" t="s">
        <v>67</v>
      </c>
      <c r="I57" s="31">
        <v>45444.0</v>
      </c>
      <c r="J57" s="32"/>
      <c r="K57" s="33">
        <v>46539.0</v>
      </c>
      <c r="L57" s="30">
        <v>1.0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29" t="s">
        <v>263</v>
      </c>
      <c r="B58" s="30" t="s">
        <v>264</v>
      </c>
      <c r="C58" s="30" t="s">
        <v>265</v>
      </c>
      <c r="D58" s="30" t="s">
        <v>266</v>
      </c>
      <c r="E58" s="30" t="s">
        <v>21</v>
      </c>
      <c r="F58" s="30" t="s">
        <v>267</v>
      </c>
      <c r="G58" s="35"/>
      <c r="H58" s="30" t="s">
        <v>30</v>
      </c>
      <c r="I58" s="31">
        <v>36892.0</v>
      </c>
      <c r="J58" s="32"/>
      <c r="K58" s="33">
        <v>47635.0</v>
      </c>
      <c r="L58" s="30">
        <v>1.0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29" t="s">
        <v>268</v>
      </c>
      <c r="B59" s="30" t="s">
        <v>242</v>
      </c>
      <c r="C59" s="30" t="s">
        <v>269</v>
      </c>
      <c r="D59" s="30" t="s">
        <v>270</v>
      </c>
      <c r="E59" s="30" t="s">
        <v>21</v>
      </c>
      <c r="F59" s="30" t="s">
        <v>201</v>
      </c>
      <c r="G59" s="30">
        <v>1.0</v>
      </c>
      <c r="H59" s="30" t="s">
        <v>271</v>
      </c>
      <c r="I59" s="31">
        <v>45078.0</v>
      </c>
      <c r="J59" s="32"/>
      <c r="K59" s="33">
        <v>46174.0</v>
      </c>
      <c r="L59" s="30">
        <v>1.0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29" t="s">
        <v>272</v>
      </c>
      <c r="B60" s="30" t="s">
        <v>273</v>
      </c>
      <c r="C60" s="30" t="s">
        <v>274</v>
      </c>
      <c r="D60" s="30" t="s">
        <v>275</v>
      </c>
      <c r="E60" s="35"/>
      <c r="F60" s="30" t="s">
        <v>157</v>
      </c>
      <c r="G60" s="30" t="s">
        <v>29</v>
      </c>
      <c r="H60" s="30" t="s">
        <v>139</v>
      </c>
      <c r="I60" s="31">
        <v>45444.0</v>
      </c>
      <c r="J60" s="32"/>
      <c r="K60" s="33">
        <v>46539.0</v>
      </c>
      <c r="L60" s="30">
        <v>1.0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29" t="s">
        <v>276</v>
      </c>
      <c r="B61" s="30" t="s">
        <v>277</v>
      </c>
      <c r="C61" s="30" t="s">
        <v>278</v>
      </c>
      <c r="D61" s="30" t="s">
        <v>266</v>
      </c>
      <c r="E61" s="30" t="s">
        <v>21</v>
      </c>
      <c r="F61" s="30" t="s">
        <v>243</v>
      </c>
      <c r="G61" s="30">
        <v>1.0</v>
      </c>
      <c r="H61" s="30" t="s">
        <v>279</v>
      </c>
      <c r="I61" s="31">
        <v>45078.0</v>
      </c>
      <c r="J61" s="32"/>
      <c r="K61" s="33">
        <v>46174.0</v>
      </c>
      <c r="L61" s="30">
        <v>1.0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29" t="s">
        <v>280</v>
      </c>
      <c r="B62" s="30" t="s">
        <v>281</v>
      </c>
      <c r="C62" s="30" t="s">
        <v>282</v>
      </c>
      <c r="D62" s="30" t="s">
        <v>20</v>
      </c>
      <c r="E62" s="30" t="s">
        <v>21</v>
      </c>
      <c r="F62" s="30" t="s">
        <v>58</v>
      </c>
      <c r="G62" s="30">
        <v>2.0</v>
      </c>
      <c r="H62" s="30" t="s">
        <v>23</v>
      </c>
      <c r="I62" s="31">
        <v>45078.0</v>
      </c>
      <c r="J62" s="32"/>
      <c r="K62" s="33">
        <v>46174.0</v>
      </c>
      <c r="L62" s="30">
        <v>1.0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29" t="s">
        <v>283</v>
      </c>
      <c r="B63" s="30" t="s">
        <v>284</v>
      </c>
      <c r="C63" s="30" t="s">
        <v>205</v>
      </c>
      <c r="D63" s="30" t="s">
        <v>137</v>
      </c>
      <c r="E63" s="30" t="s">
        <v>21</v>
      </c>
      <c r="F63" s="30" t="s">
        <v>78</v>
      </c>
      <c r="G63" s="30" t="s">
        <v>79</v>
      </c>
      <c r="H63" s="30" t="s">
        <v>285</v>
      </c>
      <c r="I63" s="31">
        <v>44713.0</v>
      </c>
      <c r="J63" s="32"/>
      <c r="K63" s="33">
        <v>45809.0</v>
      </c>
      <c r="L63" s="30">
        <v>1.0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29" t="s">
        <v>286</v>
      </c>
      <c r="B64" s="30" t="s">
        <v>287</v>
      </c>
      <c r="C64" s="30" t="s">
        <v>288</v>
      </c>
      <c r="D64" s="30" t="s">
        <v>46</v>
      </c>
      <c r="E64" s="30" t="s">
        <v>21</v>
      </c>
      <c r="F64" s="30" t="s">
        <v>289</v>
      </c>
      <c r="G64" s="30" t="s">
        <v>79</v>
      </c>
      <c r="H64" s="30" t="s">
        <v>290</v>
      </c>
      <c r="I64" s="31">
        <v>44713.0</v>
      </c>
      <c r="J64" s="32"/>
      <c r="K64" s="33">
        <v>45809.0</v>
      </c>
      <c r="L64" s="30">
        <v>1.0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41" t="s">
        <v>121</v>
      </c>
      <c r="B65" s="42" t="s">
        <v>291</v>
      </c>
      <c r="C65" s="43"/>
      <c r="D65" s="43"/>
      <c r="E65" s="43"/>
      <c r="F65" s="42" t="s">
        <v>119</v>
      </c>
      <c r="G65" s="43"/>
      <c r="H65" s="43"/>
      <c r="I65" s="44">
        <v>45444.0</v>
      </c>
      <c r="J65" s="44">
        <v>46539.0</v>
      </c>
      <c r="K65" s="45">
        <v>47635.0</v>
      </c>
      <c r="L65" s="46">
        <v>2.0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29" t="s">
        <v>292</v>
      </c>
      <c r="B66" s="30" t="s">
        <v>293</v>
      </c>
      <c r="C66" s="30" t="s">
        <v>294</v>
      </c>
      <c r="D66" s="30" t="s">
        <v>20</v>
      </c>
      <c r="E66" s="30" t="s">
        <v>21</v>
      </c>
      <c r="F66" s="30" t="s">
        <v>47</v>
      </c>
      <c r="G66" s="30">
        <v>3.0</v>
      </c>
      <c r="H66" s="30" t="s">
        <v>23</v>
      </c>
      <c r="I66" s="31">
        <v>45078.0</v>
      </c>
      <c r="J66" s="32"/>
      <c r="K66" s="33">
        <v>46174.0</v>
      </c>
      <c r="L66" s="30">
        <v>1.0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29" t="s">
        <v>295</v>
      </c>
      <c r="B67" s="30" t="s">
        <v>296</v>
      </c>
      <c r="C67" s="30" t="s">
        <v>297</v>
      </c>
      <c r="D67" s="30" t="s">
        <v>71</v>
      </c>
      <c r="E67" s="30" t="s">
        <v>21</v>
      </c>
      <c r="F67" s="30" t="s">
        <v>58</v>
      </c>
      <c r="G67" s="30">
        <v>3.0</v>
      </c>
      <c r="H67" s="30" t="s">
        <v>244</v>
      </c>
      <c r="I67" s="31">
        <v>45078.0</v>
      </c>
      <c r="J67" s="32"/>
      <c r="K67" s="33">
        <v>46174.0</v>
      </c>
      <c r="L67" s="30">
        <v>1.0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29" t="s">
        <v>298</v>
      </c>
      <c r="B68" s="30" t="s">
        <v>299</v>
      </c>
      <c r="C68" s="30" t="s">
        <v>300</v>
      </c>
      <c r="D68" s="30" t="s">
        <v>128</v>
      </c>
      <c r="E68" s="30" t="s">
        <v>21</v>
      </c>
      <c r="F68" s="30" t="s">
        <v>301</v>
      </c>
      <c r="G68" s="30">
        <v>1.0</v>
      </c>
      <c r="H68" s="30" t="s">
        <v>224</v>
      </c>
      <c r="I68" s="31">
        <v>45078.0</v>
      </c>
      <c r="J68" s="32"/>
      <c r="K68" s="33">
        <v>46174.0</v>
      </c>
      <c r="L68" s="30">
        <v>1.0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29" t="s">
        <v>302</v>
      </c>
      <c r="B69" s="30" t="s">
        <v>303</v>
      </c>
      <c r="C69" s="30" t="s">
        <v>304</v>
      </c>
      <c r="D69" s="30" t="s">
        <v>305</v>
      </c>
      <c r="E69" s="30" t="s">
        <v>304</v>
      </c>
      <c r="F69" s="30" t="s">
        <v>306</v>
      </c>
      <c r="G69" s="30" t="s">
        <v>307</v>
      </c>
      <c r="H69" s="30" t="s">
        <v>30</v>
      </c>
      <c r="I69" s="31">
        <v>43132.0</v>
      </c>
      <c r="J69" s="32"/>
      <c r="K69" s="33">
        <v>47635.0</v>
      </c>
      <c r="L69" s="30">
        <v>1.0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29" t="s">
        <v>308</v>
      </c>
      <c r="B70" s="30" t="s">
        <v>309</v>
      </c>
      <c r="C70" s="30" t="s">
        <v>310</v>
      </c>
      <c r="D70" s="30" t="s">
        <v>311</v>
      </c>
      <c r="E70" s="30" t="s">
        <v>21</v>
      </c>
      <c r="F70" s="30" t="s">
        <v>248</v>
      </c>
      <c r="G70" s="30" t="s">
        <v>85</v>
      </c>
      <c r="H70" s="30" t="s">
        <v>86</v>
      </c>
      <c r="I70" s="31">
        <v>44713.0</v>
      </c>
      <c r="J70" s="32"/>
      <c r="K70" s="33">
        <v>45809.0</v>
      </c>
      <c r="L70" s="30">
        <v>1.0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29" t="s">
        <v>312</v>
      </c>
      <c r="B71" s="30" t="s">
        <v>313</v>
      </c>
      <c r="C71" s="30" t="s">
        <v>314</v>
      </c>
      <c r="D71" s="30" t="s">
        <v>137</v>
      </c>
      <c r="E71" s="35"/>
      <c r="F71" s="30" t="s">
        <v>153</v>
      </c>
      <c r="G71" s="30" t="s">
        <v>91</v>
      </c>
      <c r="H71" s="30" t="s">
        <v>139</v>
      </c>
      <c r="I71" s="31">
        <v>45444.0</v>
      </c>
      <c r="J71" s="32"/>
      <c r="K71" s="33">
        <v>46539.0</v>
      </c>
      <c r="L71" s="30">
        <v>1.0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29" t="s">
        <v>315</v>
      </c>
      <c r="B72" s="30" t="s">
        <v>316</v>
      </c>
      <c r="C72" s="30" t="s">
        <v>317</v>
      </c>
      <c r="D72" s="30" t="s">
        <v>65</v>
      </c>
      <c r="E72" s="30" t="s">
        <v>21</v>
      </c>
      <c r="F72" s="30" t="s">
        <v>289</v>
      </c>
      <c r="G72" s="30" t="s">
        <v>85</v>
      </c>
      <c r="H72" s="30" t="s">
        <v>318</v>
      </c>
      <c r="I72" s="31">
        <v>44713.0</v>
      </c>
      <c r="J72" s="32"/>
      <c r="K72" s="33">
        <v>45809.0</v>
      </c>
      <c r="L72" s="30">
        <v>1.0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29" t="s">
        <v>319</v>
      </c>
      <c r="B73" s="30" t="s">
        <v>320</v>
      </c>
      <c r="C73" s="30" t="s">
        <v>321</v>
      </c>
      <c r="D73" s="30" t="s">
        <v>20</v>
      </c>
      <c r="E73" s="30" t="s">
        <v>21</v>
      </c>
      <c r="F73" s="30" t="s">
        <v>113</v>
      </c>
      <c r="G73" s="30" t="s">
        <v>79</v>
      </c>
      <c r="H73" s="30" t="s">
        <v>42</v>
      </c>
      <c r="I73" s="31">
        <v>44713.0</v>
      </c>
      <c r="J73" s="32"/>
      <c r="K73" s="33">
        <v>45809.0</v>
      </c>
      <c r="L73" s="30">
        <v>1.0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29" t="s">
        <v>322</v>
      </c>
      <c r="B74" s="30" t="s">
        <v>323</v>
      </c>
      <c r="C74" s="30" t="s">
        <v>324</v>
      </c>
      <c r="D74" s="30" t="s">
        <v>192</v>
      </c>
      <c r="E74" s="30" t="s">
        <v>21</v>
      </c>
      <c r="F74" s="30" t="s">
        <v>66</v>
      </c>
      <c r="G74" s="30" t="s">
        <v>29</v>
      </c>
      <c r="H74" s="30" t="s">
        <v>108</v>
      </c>
      <c r="I74" s="31">
        <v>45444.0</v>
      </c>
      <c r="J74" s="32"/>
      <c r="K74" s="33">
        <v>46539.0</v>
      </c>
      <c r="L74" s="30">
        <v>1.0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29" t="s">
        <v>322</v>
      </c>
      <c r="B75" s="30" t="s">
        <v>325</v>
      </c>
      <c r="C75" s="30" t="s">
        <v>326</v>
      </c>
      <c r="D75" s="30" t="s">
        <v>128</v>
      </c>
      <c r="E75" s="30" t="s">
        <v>21</v>
      </c>
      <c r="F75" s="30" t="s">
        <v>66</v>
      </c>
      <c r="G75" s="30" t="s">
        <v>29</v>
      </c>
      <c r="H75" s="30" t="s">
        <v>164</v>
      </c>
      <c r="I75" s="31">
        <v>45444.0</v>
      </c>
      <c r="J75" s="32"/>
      <c r="K75" s="33">
        <v>46539.0</v>
      </c>
      <c r="L75" s="30">
        <v>1.0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29" t="s">
        <v>322</v>
      </c>
      <c r="B76" s="30" t="s">
        <v>327</v>
      </c>
      <c r="C76" s="30" t="s">
        <v>328</v>
      </c>
      <c r="D76" s="30" t="s">
        <v>329</v>
      </c>
      <c r="E76" s="30" t="s">
        <v>21</v>
      </c>
      <c r="F76" s="35"/>
      <c r="G76" s="35"/>
      <c r="H76" s="30" t="s">
        <v>188</v>
      </c>
      <c r="I76" s="31">
        <v>44348.0</v>
      </c>
      <c r="J76" s="32"/>
      <c r="K76" s="33">
        <v>46539.0</v>
      </c>
      <c r="L76" s="30">
        <v>1.0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29" t="s">
        <v>330</v>
      </c>
      <c r="B77" s="30" t="s">
        <v>194</v>
      </c>
      <c r="C77" s="30" t="s">
        <v>106</v>
      </c>
      <c r="D77" s="30" t="s">
        <v>107</v>
      </c>
      <c r="E77" s="30" t="s">
        <v>21</v>
      </c>
      <c r="F77" s="30" t="s">
        <v>196</v>
      </c>
      <c r="G77" s="30" t="s">
        <v>35</v>
      </c>
      <c r="H77" s="30" t="s">
        <v>108</v>
      </c>
      <c r="I77" s="31">
        <v>45444.0</v>
      </c>
      <c r="J77" s="32"/>
      <c r="K77" s="33">
        <v>46539.0</v>
      </c>
      <c r="L77" s="30">
        <v>1.0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29" t="s">
        <v>331</v>
      </c>
      <c r="B78" s="30" t="s">
        <v>332</v>
      </c>
      <c r="C78" s="30" t="s">
        <v>333</v>
      </c>
      <c r="D78" s="30" t="s">
        <v>234</v>
      </c>
      <c r="E78" s="30" t="s">
        <v>21</v>
      </c>
      <c r="F78" s="30" t="s">
        <v>157</v>
      </c>
      <c r="G78" s="30" t="s">
        <v>29</v>
      </c>
      <c r="H78" s="30" t="s">
        <v>73</v>
      </c>
      <c r="I78" s="31">
        <v>45444.0</v>
      </c>
      <c r="J78" s="32"/>
      <c r="K78" s="33">
        <v>46539.0</v>
      </c>
      <c r="L78" s="30">
        <v>1.0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47" t="s">
        <v>334</v>
      </c>
      <c r="B79" s="48" t="s">
        <v>242</v>
      </c>
      <c r="C79" s="48" t="s">
        <v>335</v>
      </c>
      <c r="D79" s="48" t="s">
        <v>46</v>
      </c>
      <c r="E79" s="30" t="s">
        <v>21</v>
      </c>
      <c r="F79" s="49" t="s">
        <v>336</v>
      </c>
      <c r="G79" s="49" t="s">
        <v>41</v>
      </c>
      <c r="H79" s="49" t="s">
        <v>337</v>
      </c>
      <c r="I79" s="31">
        <v>45444.0</v>
      </c>
      <c r="J79" s="32"/>
      <c r="K79" s="33">
        <v>46539.0</v>
      </c>
      <c r="L79" s="30">
        <v>1.0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29" t="s">
        <v>331</v>
      </c>
      <c r="B80" s="30" t="s">
        <v>338</v>
      </c>
      <c r="C80" s="30" t="s">
        <v>339</v>
      </c>
      <c r="D80" s="30" t="s">
        <v>46</v>
      </c>
      <c r="E80" s="30" t="s">
        <v>21</v>
      </c>
      <c r="F80" s="30" t="s">
        <v>157</v>
      </c>
      <c r="G80" s="30" t="s">
        <v>91</v>
      </c>
      <c r="H80" s="30" t="s">
        <v>164</v>
      </c>
      <c r="I80" s="31">
        <v>45444.0</v>
      </c>
      <c r="J80" s="32"/>
      <c r="K80" s="33">
        <v>46539.0</v>
      </c>
      <c r="L80" s="30">
        <v>1.0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29" t="s">
        <v>334</v>
      </c>
      <c r="B81" s="30" t="s">
        <v>340</v>
      </c>
      <c r="C81" s="30" t="s">
        <v>341</v>
      </c>
      <c r="D81" s="30" t="s">
        <v>65</v>
      </c>
      <c r="E81" s="30" t="s">
        <v>21</v>
      </c>
      <c r="F81" s="30" t="s">
        <v>47</v>
      </c>
      <c r="G81" s="30">
        <v>3.0</v>
      </c>
      <c r="H81" s="30" t="s">
        <v>271</v>
      </c>
      <c r="I81" s="31">
        <v>45078.0</v>
      </c>
      <c r="J81" s="32"/>
      <c r="K81" s="33">
        <v>46174.0</v>
      </c>
      <c r="L81" s="30">
        <v>1.0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29" t="s">
        <v>334</v>
      </c>
      <c r="B82" s="30" t="s">
        <v>342</v>
      </c>
      <c r="C82" s="30" t="s">
        <v>343</v>
      </c>
      <c r="D82" s="30" t="s">
        <v>65</v>
      </c>
      <c r="E82" s="30" t="s">
        <v>21</v>
      </c>
      <c r="F82" s="30" t="s">
        <v>113</v>
      </c>
      <c r="G82" s="30" t="s">
        <v>41</v>
      </c>
      <c r="H82" s="30" t="s">
        <v>318</v>
      </c>
      <c r="I82" s="31">
        <v>44713.0</v>
      </c>
      <c r="J82" s="32"/>
      <c r="K82" s="33">
        <v>45809.0</v>
      </c>
      <c r="L82" s="30">
        <v>1.0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29" t="s">
        <v>344</v>
      </c>
      <c r="B83" s="30" t="s">
        <v>345</v>
      </c>
      <c r="C83" s="30" t="s">
        <v>346</v>
      </c>
      <c r="D83" s="30" t="s">
        <v>102</v>
      </c>
      <c r="E83" s="30" t="s">
        <v>21</v>
      </c>
      <c r="F83" s="30" t="s">
        <v>347</v>
      </c>
      <c r="G83" s="30" t="s">
        <v>35</v>
      </c>
      <c r="H83" s="30" t="s">
        <v>124</v>
      </c>
      <c r="I83" s="31">
        <v>43617.0</v>
      </c>
      <c r="J83" s="32"/>
      <c r="K83" s="33">
        <v>45809.0</v>
      </c>
      <c r="L83" s="30">
        <v>1.0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29" t="s">
        <v>348</v>
      </c>
      <c r="B84" s="30" t="s">
        <v>349</v>
      </c>
      <c r="C84" s="30" t="s">
        <v>350</v>
      </c>
      <c r="D84" s="30" t="s">
        <v>46</v>
      </c>
      <c r="E84" s="30" t="s">
        <v>21</v>
      </c>
      <c r="F84" s="30" t="s">
        <v>351</v>
      </c>
      <c r="G84" s="30">
        <v>1.0</v>
      </c>
      <c r="H84" s="30" t="s">
        <v>48</v>
      </c>
      <c r="I84" s="31">
        <v>45078.0</v>
      </c>
      <c r="J84" s="32"/>
      <c r="K84" s="33">
        <v>46174.0</v>
      </c>
      <c r="L84" s="30">
        <v>1.0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29" t="s">
        <v>352</v>
      </c>
      <c r="B85" s="30" t="s">
        <v>353</v>
      </c>
      <c r="C85" s="30" t="s">
        <v>240</v>
      </c>
      <c r="D85" s="30" t="s">
        <v>234</v>
      </c>
      <c r="E85" s="30" t="s">
        <v>21</v>
      </c>
      <c r="F85" s="30" t="s">
        <v>58</v>
      </c>
      <c r="G85" s="30">
        <v>3.0</v>
      </c>
      <c r="H85" s="30" t="s">
        <v>206</v>
      </c>
      <c r="I85" s="31">
        <v>45078.0</v>
      </c>
      <c r="J85" s="32"/>
      <c r="K85" s="33">
        <v>46174.0</v>
      </c>
      <c r="L85" s="30">
        <v>1.0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29" t="s">
        <v>354</v>
      </c>
      <c r="B86" s="30" t="s">
        <v>355</v>
      </c>
      <c r="C86" s="30" t="s">
        <v>356</v>
      </c>
      <c r="D86" s="30" t="s">
        <v>137</v>
      </c>
      <c r="E86" s="30" t="s">
        <v>21</v>
      </c>
      <c r="F86" s="30" t="s">
        <v>58</v>
      </c>
      <c r="G86" s="30">
        <v>3.0</v>
      </c>
      <c r="H86" s="30" t="s">
        <v>357</v>
      </c>
      <c r="I86" s="31">
        <v>45078.0</v>
      </c>
      <c r="J86" s="32"/>
      <c r="K86" s="33">
        <v>46174.0</v>
      </c>
      <c r="L86" s="30">
        <v>1.0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29" t="s">
        <v>358</v>
      </c>
      <c r="B87" s="30" t="s">
        <v>359</v>
      </c>
      <c r="C87" s="30" t="s">
        <v>360</v>
      </c>
      <c r="D87" s="30" t="s">
        <v>137</v>
      </c>
      <c r="E87" s="30" t="s">
        <v>21</v>
      </c>
      <c r="F87" s="30" t="s">
        <v>66</v>
      </c>
      <c r="G87" s="30" t="s">
        <v>29</v>
      </c>
      <c r="H87" s="30" t="s">
        <v>168</v>
      </c>
      <c r="I87" s="31">
        <v>45444.0</v>
      </c>
      <c r="J87" s="32"/>
      <c r="K87" s="33">
        <v>46539.0</v>
      </c>
      <c r="L87" s="30">
        <v>1.0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29" t="s">
        <v>361</v>
      </c>
      <c r="B88" s="30" t="s">
        <v>362</v>
      </c>
      <c r="C88" s="30" t="s">
        <v>363</v>
      </c>
      <c r="D88" s="30" t="s">
        <v>146</v>
      </c>
      <c r="E88" s="30" t="s">
        <v>21</v>
      </c>
      <c r="F88" s="30" t="s">
        <v>138</v>
      </c>
      <c r="G88" s="30" t="s">
        <v>91</v>
      </c>
      <c r="H88" s="30" t="s">
        <v>148</v>
      </c>
      <c r="I88" s="31">
        <v>45444.0</v>
      </c>
      <c r="J88" s="32"/>
      <c r="K88" s="33">
        <v>46539.0</v>
      </c>
      <c r="L88" s="30">
        <v>1.0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29" t="s">
        <v>364</v>
      </c>
      <c r="B89" s="30" t="s">
        <v>365</v>
      </c>
      <c r="C89" s="30" t="s">
        <v>282</v>
      </c>
      <c r="D89" s="30" t="s">
        <v>20</v>
      </c>
      <c r="E89" s="30" t="s">
        <v>21</v>
      </c>
      <c r="F89" s="30" t="s">
        <v>113</v>
      </c>
      <c r="G89" s="30" t="s">
        <v>85</v>
      </c>
      <c r="H89" s="30" t="s">
        <v>318</v>
      </c>
      <c r="I89" s="31">
        <v>44713.0</v>
      </c>
      <c r="J89" s="32"/>
      <c r="K89" s="33">
        <v>45809.0</v>
      </c>
      <c r="L89" s="30">
        <v>1.0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41" t="s">
        <v>366</v>
      </c>
      <c r="B90" s="42" t="s">
        <v>367</v>
      </c>
      <c r="C90" s="43"/>
      <c r="D90" s="43"/>
      <c r="E90" s="43"/>
      <c r="F90" s="42" t="s">
        <v>143</v>
      </c>
      <c r="G90" s="43"/>
      <c r="H90" s="43"/>
      <c r="I90" s="44">
        <v>45444.0</v>
      </c>
      <c r="J90" s="44">
        <v>46539.0</v>
      </c>
      <c r="K90" s="45">
        <v>47635.0</v>
      </c>
      <c r="L90" s="46">
        <v>2.0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29" t="s">
        <v>368</v>
      </c>
      <c r="B91" s="30" t="s">
        <v>88</v>
      </c>
      <c r="C91" s="30" t="s">
        <v>369</v>
      </c>
      <c r="D91" s="30" t="s">
        <v>275</v>
      </c>
      <c r="E91" s="30" t="s">
        <v>21</v>
      </c>
      <c r="F91" s="30" t="s">
        <v>72</v>
      </c>
      <c r="G91" s="30" t="s">
        <v>35</v>
      </c>
      <c r="H91" s="30" t="s">
        <v>139</v>
      </c>
      <c r="I91" s="31">
        <v>45444.0</v>
      </c>
      <c r="J91" s="32"/>
      <c r="K91" s="33">
        <v>46539.0</v>
      </c>
      <c r="L91" s="30">
        <v>1.0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29" t="s">
        <v>370</v>
      </c>
      <c r="B92" s="30" t="s">
        <v>371</v>
      </c>
      <c r="C92" s="30" t="s">
        <v>372</v>
      </c>
      <c r="D92" s="30" t="s">
        <v>71</v>
      </c>
      <c r="E92" s="30" t="s">
        <v>21</v>
      </c>
      <c r="F92" s="30" t="s">
        <v>243</v>
      </c>
      <c r="G92" s="30">
        <v>2.0</v>
      </c>
      <c r="H92" s="30" t="s">
        <v>202</v>
      </c>
      <c r="I92" s="31">
        <v>45078.0</v>
      </c>
      <c r="J92" s="32"/>
      <c r="K92" s="33">
        <v>46174.0</v>
      </c>
      <c r="L92" s="30">
        <v>1.0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29" t="s">
        <v>373</v>
      </c>
      <c r="B93" s="30" t="s">
        <v>374</v>
      </c>
      <c r="C93" s="30" t="s">
        <v>375</v>
      </c>
      <c r="D93" s="30" t="s">
        <v>275</v>
      </c>
      <c r="E93" s="30" t="s">
        <v>21</v>
      </c>
      <c r="F93" s="30" t="s">
        <v>376</v>
      </c>
      <c r="G93" s="30" t="s">
        <v>91</v>
      </c>
      <c r="H93" s="30" t="s">
        <v>139</v>
      </c>
      <c r="I93" s="31">
        <v>45444.0</v>
      </c>
      <c r="J93" s="32"/>
      <c r="K93" s="33">
        <v>46539.0</v>
      </c>
      <c r="L93" s="30">
        <v>1.0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29" t="s">
        <v>377</v>
      </c>
      <c r="B94" s="30" t="s">
        <v>332</v>
      </c>
      <c r="C94" s="30" t="s">
        <v>369</v>
      </c>
      <c r="D94" s="30" t="s">
        <v>275</v>
      </c>
      <c r="E94" s="30" t="s">
        <v>21</v>
      </c>
      <c r="F94" s="30" t="s">
        <v>138</v>
      </c>
      <c r="G94" s="30" t="s">
        <v>91</v>
      </c>
      <c r="H94" s="30" t="s">
        <v>139</v>
      </c>
      <c r="I94" s="31">
        <v>45444.0</v>
      </c>
      <c r="J94" s="32"/>
      <c r="K94" s="33">
        <v>46539.0</v>
      </c>
      <c r="L94" s="30">
        <v>1.0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29" t="s">
        <v>378</v>
      </c>
      <c r="B95" s="30" t="s">
        <v>359</v>
      </c>
      <c r="C95" s="30" t="s">
        <v>379</v>
      </c>
      <c r="D95" s="30" t="s">
        <v>185</v>
      </c>
      <c r="E95" s="30" t="s">
        <v>21</v>
      </c>
      <c r="F95" s="30" t="s">
        <v>380</v>
      </c>
      <c r="G95" s="35"/>
      <c r="H95" s="30" t="s">
        <v>30</v>
      </c>
      <c r="I95" s="31">
        <v>41695.0</v>
      </c>
      <c r="J95" s="32"/>
      <c r="K95" s="33">
        <v>47635.0</v>
      </c>
      <c r="L95" s="30">
        <v>1.0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29" t="s">
        <v>381</v>
      </c>
      <c r="B96" s="30" t="s">
        <v>382</v>
      </c>
      <c r="C96" s="30" t="s">
        <v>383</v>
      </c>
      <c r="D96" s="30" t="s">
        <v>84</v>
      </c>
      <c r="E96" s="30" t="s">
        <v>21</v>
      </c>
      <c r="F96" s="30" t="s">
        <v>243</v>
      </c>
      <c r="G96" s="30">
        <v>1.0</v>
      </c>
      <c r="H96" s="30" t="s">
        <v>224</v>
      </c>
      <c r="I96" s="31">
        <v>45078.0</v>
      </c>
      <c r="J96" s="32"/>
      <c r="K96" s="33">
        <v>46174.0</v>
      </c>
      <c r="L96" s="30">
        <v>1.0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29" t="s">
        <v>384</v>
      </c>
      <c r="B97" s="30" t="s">
        <v>385</v>
      </c>
      <c r="C97" s="30" t="s">
        <v>386</v>
      </c>
      <c r="D97" s="30" t="s">
        <v>137</v>
      </c>
      <c r="E97" s="30" t="s">
        <v>21</v>
      </c>
      <c r="F97" s="30" t="s">
        <v>387</v>
      </c>
      <c r="G97" s="30" t="s">
        <v>29</v>
      </c>
      <c r="H97" s="30" t="s">
        <v>36</v>
      </c>
      <c r="I97" s="31">
        <v>45078.0</v>
      </c>
      <c r="J97" s="31">
        <v>46539.0</v>
      </c>
      <c r="K97" s="33">
        <v>47635.0</v>
      </c>
      <c r="L97" s="30">
        <v>2.0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29" t="s">
        <v>388</v>
      </c>
      <c r="B98" s="30" t="s">
        <v>389</v>
      </c>
      <c r="C98" s="30" t="s">
        <v>390</v>
      </c>
      <c r="D98" s="30" t="s">
        <v>102</v>
      </c>
      <c r="E98" s="30" t="s">
        <v>21</v>
      </c>
      <c r="F98" s="30" t="s">
        <v>196</v>
      </c>
      <c r="G98" s="30" t="s">
        <v>391</v>
      </c>
      <c r="H98" s="30" t="s">
        <v>36</v>
      </c>
      <c r="I98" s="31">
        <v>45444.0</v>
      </c>
      <c r="J98" s="31">
        <v>46539.0</v>
      </c>
      <c r="K98" s="33">
        <v>47635.0</v>
      </c>
      <c r="L98" s="30">
        <v>2.0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29" t="s">
        <v>392</v>
      </c>
      <c r="B99" s="30" t="s">
        <v>393</v>
      </c>
      <c r="C99" s="30" t="s">
        <v>394</v>
      </c>
      <c r="D99" s="30" t="s">
        <v>137</v>
      </c>
      <c r="E99" s="30" t="s">
        <v>21</v>
      </c>
      <c r="F99" s="30" t="s">
        <v>243</v>
      </c>
      <c r="G99" s="30">
        <v>3.0</v>
      </c>
      <c r="H99" s="30" t="s">
        <v>357</v>
      </c>
      <c r="I99" s="31">
        <v>45078.0</v>
      </c>
      <c r="J99" s="32"/>
      <c r="K99" s="33">
        <v>46174.0</v>
      </c>
      <c r="L99" s="30">
        <v>1.0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29" t="s">
        <v>395</v>
      </c>
      <c r="B100" s="30" t="s">
        <v>222</v>
      </c>
      <c r="C100" s="30" t="s">
        <v>396</v>
      </c>
      <c r="D100" s="30" t="s">
        <v>102</v>
      </c>
      <c r="E100" s="30" t="s">
        <v>21</v>
      </c>
      <c r="F100" s="30" t="s">
        <v>231</v>
      </c>
      <c r="G100" s="30" t="s">
        <v>35</v>
      </c>
      <c r="H100" s="30" t="s">
        <v>36</v>
      </c>
      <c r="I100" s="31">
        <v>45444.0</v>
      </c>
      <c r="J100" s="31">
        <v>46539.0</v>
      </c>
      <c r="K100" s="33">
        <v>47635.0</v>
      </c>
      <c r="L100" s="30">
        <v>2.0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29" t="s">
        <v>397</v>
      </c>
      <c r="B101" s="30" t="s">
        <v>398</v>
      </c>
      <c r="C101" s="30" t="s">
        <v>399</v>
      </c>
      <c r="D101" s="30" t="s">
        <v>400</v>
      </c>
      <c r="E101" s="30" t="s">
        <v>177</v>
      </c>
      <c r="F101" s="30" t="s">
        <v>401</v>
      </c>
      <c r="G101" s="30" t="s">
        <v>91</v>
      </c>
      <c r="H101" s="30" t="s">
        <v>36</v>
      </c>
      <c r="I101" s="31">
        <v>45078.0</v>
      </c>
      <c r="J101" s="31">
        <v>46539.0</v>
      </c>
      <c r="K101" s="33">
        <v>47635.0</v>
      </c>
      <c r="L101" s="30">
        <v>2.0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41" t="s">
        <v>402</v>
      </c>
      <c r="B102" s="42" t="s">
        <v>212</v>
      </c>
      <c r="C102" s="43"/>
      <c r="D102" s="43"/>
      <c r="E102" s="42" t="s">
        <v>304</v>
      </c>
      <c r="F102" s="30" t="s">
        <v>387</v>
      </c>
      <c r="G102" s="30" t="s">
        <v>29</v>
      </c>
      <c r="H102" s="30" t="s">
        <v>36</v>
      </c>
      <c r="I102" s="44">
        <v>45444.0</v>
      </c>
      <c r="J102" s="44">
        <v>46539.0</v>
      </c>
      <c r="K102" s="45">
        <v>47635.0</v>
      </c>
      <c r="L102" s="46">
        <v>2.0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29" t="s">
        <v>403</v>
      </c>
      <c r="B103" s="30" t="s">
        <v>404</v>
      </c>
      <c r="C103" s="30" t="s">
        <v>405</v>
      </c>
      <c r="D103" s="30" t="s">
        <v>46</v>
      </c>
      <c r="E103" s="30" t="s">
        <v>21</v>
      </c>
      <c r="F103" s="30" t="s">
        <v>267</v>
      </c>
      <c r="G103" s="35"/>
      <c r="H103" s="30" t="s">
        <v>30</v>
      </c>
      <c r="I103" s="31">
        <v>36892.0</v>
      </c>
      <c r="J103" s="32"/>
      <c r="K103" s="33">
        <v>47635.0</v>
      </c>
      <c r="L103" s="30">
        <v>1.0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29" t="s">
        <v>406</v>
      </c>
      <c r="B104" s="30" t="s">
        <v>407</v>
      </c>
      <c r="C104" s="30" t="s">
        <v>191</v>
      </c>
      <c r="D104" s="30" t="s">
        <v>192</v>
      </c>
      <c r="E104" s="30" t="s">
        <v>21</v>
      </c>
      <c r="F104" s="30" t="s">
        <v>66</v>
      </c>
      <c r="G104" s="30" t="s">
        <v>35</v>
      </c>
      <c r="H104" s="30" t="s">
        <v>108</v>
      </c>
      <c r="I104" s="31">
        <v>45444.0</v>
      </c>
      <c r="J104" s="32"/>
      <c r="K104" s="33">
        <v>46539.0</v>
      </c>
      <c r="L104" s="30">
        <v>1.0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29" t="s">
        <v>408</v>
      </c>
      <c r="B105" s="30" t="s">
        <v>409</v>
      </c>
      <c r="C105" s="30" t="s">
        <v>410</v>
      </c>
      <c r="D105" s="30" t="s">
        <v>137</v>
      </c>
      <c r="E105" s="30" t="s">
        <v>21</v>
      </c>
      <c r="F105" s="30" t="s">
        <v>138</v>
      </c>
      <c r="G105" s="30" t="s">
        <v>29</v>
      </c>
      <c r="H105" s="30" t="s">
        <v>168</v>
      </c>
      <c r="I105" s="31">
        <v>45444.0</v>
      </c>
      <c r="J105" s="32"/>
      <c r="K105" s="33">
        <v>46539.0</v>
      </c>
      <c r="L105" s="30">
        <v>1.0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41" t="s">
        <v>411</v>
      </c>
      <c r="B106" s="42" t="s">
        <v>412</v>
      </c>
      <c r="C106" s="43"/>
      <c r="D106" s="43"/>
      <c r="E106" s="30" t="s">
        <v>21</v>
      </c>
      <c r="F106" s="42" t="s">
        <v>119</v>
      </c>
      <c r="G106" s="43"/>
      <c r="H106" s="43"/>
      <c r="I106" s="44">
        <v>45444.0</v>
      </c>
      <c r="J106" s="44">
        <v>46539.0</v>
      </c>
      <c r="K106" s="45">
        <v>47635.0</v>
      </c>
      <c r="L106" s="46">
        <v>2.0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29" t="s">
        <v>413</v>
      </c>
      <c r="B107" s="30" t="s">
        <v>414</v>
      </c>
      <c r="C107" s="30" t="s">
        <v>415</v>
      </c>
      <c r="D107" s="30" t="s">
        <v>57</v>
      </c>
      <c r="E107" s="30" t="s">
        <v>21</v>
      </c>
      <c r="F107" s="30" t="s">
        <v>387</v>
      </c>
      <c r="G107" s="30" t="s">
        <v>91</v>
      </c>
      <c r="H107" s="30" t="s">
        <v>36</v>
      </c>
      <c r="I107" s="31">
        <v>45078.0</v>
      </c>
      <c r="J107" s="31">
        <v>46539.0</v>
      </c>
      <c r="K107" s="33">
        <v>47635.0</v>
      </c>
      <c r="L107" s="30">
        <v>2.0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50" t="s">
        <v>416</v>
      </c>
      <c r="B108" s="30" t="s">
        <v>417</v>
      </c>
      <c r="C108" s="30" t="s">
        <v>418</v>
      </c>
      <c r="D108" s="30" t="s">
        <v>126</v>
      </c>
      <c r="E108" s="30" t="s">
        <v>21</v>
      </c>
      <c r="F108" s="30" t="s">
        <v>419</v>
      </c>
      <c r="G108" s="30" t="s">
        <v>420</v>
      </c>
      <c r="H108" s="30" t="s">
        <v>30</v>
      </c>
      <c r="I108" s="31">
        <v>41695.0</v>
      </c>
      <c r="J108" s="32"/>
      <c r="K108" s="33">
        <v>47635.0</v>
      </c>
      <c r="L108" s="30">
        <v>1.0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29" t="s">
        <v>421</v>
      </c>
      <c r="B109" s="30" t="s">
        <v>296</v>
      </c>
      <c r="C109" s="30" t="s">
        <v>61</v>
      </c>
      <c r="D109" s="30" t="s">
        <v>27</v>
      </c>
      <c r="E109" s="30" t="s">
        <v>21</v>
      </c>
      <c r="F109" s="30" t="s">
        <v>289</v>
      </c>
      <c r="G109" s="30" t="s">
        <v>85</v>
      </c>
      <c r="H109" s="30" t="s">
        <v>116</v>
      </c>
      <c r="I109" s="31">
        <v>44713.0</v>
      </c>
      <c r="J109" s="32"/>
      <c r="K109" s="33">
        <v>45809.0</v>
      </c>
      <c r="L109" s="30">
        <v>1.0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29" t="s">
        <v>422</v>
      </c>
      <c r="B110" s="30" t="s">
        <v>284</v>
      </c>
      <c r="C110" s="30" t="s">
        <v>423</v>
      </c>
      <c r="D110" s="30" t="s">
        <v>275</v>
      </c>
      <c r="E110" s="30" t="s">
        <v>21</v>
      </c>
      <c r="F110" s="30" t="s">
        <v>289</v>
      </c>
      <c r="G110" s="30" t="s">
        <v>79</v>
      </c>
      <c r="H110" s="30" t="s">
        <v>285</v>
      </c>
      <c r="I110" s="31">
        <v>44713.0</v>
      </c>
      <c r="J110" s="32"/>
      <c r="K110" s="33">
        <v>45809.0</v>
      </c>
      <c r="L110" s="30">
        <v>1.0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29" t="s">
        <v>424</v>
      </c>
      <c r="B111" s="30" t="s">
        <v>425</v>
      </c>
      <c r="C111" s="30" t="s">
        <v>426</v>
      </c>
      <c r="D111" s="30" t="s">
        <v>270</v>
      </c>
      <c r="E111" s="30" t="s">
        <v>21</v>
      </c>
      <c r="F111" s="30" t="s">
        <v>201</v>
      </c>
      <c r="G111" s="30">
        <v>2.0</v>
      </c>
      <c r="H111" s="30" t="s">
        <v>271</v>
      </c>
      <c r="I111" s="31">
        <v>45078.0</v>
      </c>
      <c r="J111" s="32"/>
      <c r="K111" s="33">
        <v>46174.0</v>
      </c>
      <c r="L111" s="30">
        <v>1.0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29" t="s">
        <v>427</v>
      </c>
      <c r="B112" s="30" t="s">
        <v>428</v>
      </c>
      <c r="C112" s="30" t="s">
        <v>429</v>
      </c>
      <c r="D112" s="30" t="s">
        <v>430</v>
      </c>
      <c r="E112" s="30" t="s">
        <v>21</v>
      </c>
      <c r="F112" s="30" t="s">
        <v>178</v>
      </c>
      <c r="G112" s="30" t="s">
        <v>391</v>
      </c>
      <c r="H112" s="30" t="s">
        <v>36</v>
      </c>
      <c r="I112" s="31">
        <v>45078.0</v>
      </c>
      <c r="J112" s="31">
        <v>46174.0</v>
      </c>
      <c r="K112" s="33">
        <v>47270.0</v>
      </c>
      <c r="L112" s="30">
        <v>2.0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29" t="s">
        <v>431</v>
      </c>
      <c r="B113" s="30" t="s">
        <v>432</v>
      </c>
      <c r="C113" s="30" t="s">
        <v>433</v>
      </c>
      <c r="D113" s="30" t="s">
        <v>185</v>
      </c>
      <c r="E113" s="30" t="s">
        <v>21</v>
      </c>
      <c r="F113" s="30" t="s">
        <v>267</v>
      </c>
      <c r="G113" s="51"/>
      <c r="H113" s="30" t="s">
        <v>30</v>
      </c>
      <c r="I113" s="31">
        <v>36892.0</v>
      </c>
      <c r="J113" s="32"/>
      <c r="K113" s="33">
        <v>47635.0</v>
      </c>
      <c r="L113" s="30">
        <v>1.0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29" t="s">
        <v>434</v>
      </c>
      <c r="B114" s="30" t="s">
        <v>435</v>
      </c>
      <c r="C114" s="30" t="s">
        <v>426</v>
      </c>
      <c r="D114" s="30" t="s">
        <v>270</v>
      </c>
      <c r="E114" s="30" t="s">
        <v>21</v>
      </c>
      <c r="F114" s="30" t="s">
        <v>243</v>
      </c>
      <c r="G114" s="30">
        <v>3.0</v>
      </c>
      <c r="H114" s="30" t="s">
        <v>23</v>
      </c>
      <c r="I114" s="31">
        <v>45078.0</v>
      </c>
      <c r="J114" s="32"/>
      <c r="K114" s="33">
        <v>46174.0</v>
      </c>
      <c r="L114" s="30">
        <v>1.0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29" t="s">
        <v>436</v>
      </c>
      <c r="B115" s="30" t="s">
        <v>437</v>
      </c>
      <c r="C115" s="30" t="s">
        <v>438</v>
      </c>
      <c r="D115" s="30" t="s">
        <v>65</v>
      </c>
      <c r="E115" s="30" t="s">
        <v>21</v>
      </c>
      <c r="F115" s="30" t="s">
        <v>157</v>
      </c>
      <c r="G115" s="30" t="s">
        <v>35</v>
      </c>
      <c r="H115" s="30" t="s">
        <v>67</v>
      </c>
      <c r="I115" s="31">
        <v>45444.0</v>
      </c>
      <c r="J115" s="32"/>
      <c r="K115" s="33">
        <v>46539.0</v>
      </c>
      <c r="L115" s="30">
        <v>1.0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29" t="s">
        <v>439</v>
      </c>
      <c r="B116" s="30" t="s">
        <v>440</v>
      </c>
      <c r="C116" s="30" t="s">
        <v>441</v>
      </c>
      <c r="D116" s="30" t="s">
        <v>137</v>
      </c>
      <c r="E116" s="30" t="s">
        <v>21</v>
      </c>
      <c r="F116" s="30" t="s">
        <v>66</v>
      </c>
      <c r="G116" s="30" t="s">
        <v>35</v>
      </c>
      <c r="H116" s="30" t="s">
        <v>168</v>
      </c>
      <c r="I116" s="31">
        <v>45444.0</v>
      </c>
      <c r="J116" s="32"/>
      <c r="K116" s="33">
        <v>46539.0</v>
      </c>
      <c r="L116" s="30">
        <v>1.0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29" t="s">
        <v>442</v>
      </c>
      <c r="B117" s="30" t="s">
        <v>443</v>
      </c>
      <c r="C117" s="35"/>
      <c r="D117" s="30" t="s">
        <v>305</v>
      </c>
      <c r="E117" s="30" t="s">
        <v>21</v>
      </c>
      <c r="F117" s="30" t="s">
        <v>267</v>
      </c>
      <c r="G117" s="35"/>
      <c r="H117" s="30" t="s">
        <v>30</v>
      </c>
      <c r="I117" s="31">
        <v>36892.0</v>
      </c>
      <c r="J117" s="32"/>
      <c r="K117" s="33">
        <v>47635.0</v>
      </c>
      <c r="L117" s="30">
        <v>1.0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29" t="s">
        <v>444</v>
      </c>
      <c r="B118" s="30" t="s">
        <v>445</v>
      </c>
      <c r="C118" s="30" t="s">
        <v>446</v>
      </c>
      <c r="D118" s="30" t="s">
        <v>71</v>
      </c>
      <c r="E118" s="30" t="s">
        <v>21</v>
      </c>
      <c r="F118" s="30" t="s">
        <v>58</v>
      </c>
      <c r="G118" s="30">
        <v>3.0</v>
      </c>
      <c r="H118" s="30" t="s">
        <v>244</v>
      </c>
      <c r="I118" s="31">
        <v>45078.0</v>
      </c>
      <c r="J118" s="32"/>
      <c r="K118" s="33">
        <v>46174.0</v>
      </c>
      <c r="L118" s="30">
        <v>1.0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29" t="s">
        <v>447</v>
      </c>
      <c r="B119" s="30" t="s">
        <v>448</v>
      </c>
      <c r="C119" s="30" t="s">
        <v>449</v>
      </c>
      <c r="D119" s="30" t="s">
        <v>71</v>
      </c>
      <c r="E119" s="30" t="s">
        <v>21</v>
      </c>
      <c r="F119" s="30" t="s">
        <v>289</v>
      </c>
      <c r="G119" s="30" t="s">
        <v>41</v>
      </c>
      <c r="H119" s="30" t="s">
        <v>116</v>
      </c>
      <c r="I119" s="31">
        <v>44713.0</v>
      </c>
      <c r="J119" s="32"/>
      <c r="K119" s="33">
        <v>45809.0</v>
      </c>
      <c r="L119" s="30">
        <v>1.0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29" t="s">
        <v>450</v>
      </c>
      <c r="B120" s="30" t="s">
        <v>82</v>
      </c>
      <c r="C120" s="30" t="s">
        <v>451</v>
      </c>
      <c r="D120" s="30" t="s">
        <v>65</v>
      </c>
      <c r="E120" s="30" t="s">
        <v>21</v>
      </c>
      <c r="F120" s="30" t="s">
        <v>351</v>
      </c>
      <c r="G120" s="30">
        <v>1.0</v>
      </c>
      <c r="H120" s="30" t="s">
        <v>271</v>
      </c>
      <c r="I120" s="31">
        <v>45078.0</v>
      </c>
      <c r="J120" s="32"/>
      <c r="K120" s="33">
        <v>46174.0</v>
      </c>
      <c r="L120" s="30">
        <v>1.0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29" t="s">
        <v>452</v>
      </c>
      <c r="B121" s="30" t="s">
        <v>453</v>
      </c>
      <c r="C121" s="30" t="s">
        <v>321</v>
      </c>
      <c r="D121" s="30" t="s">
        <v>20</v>
      </c>
      <c r="E121" s="30" t="s">
        <v>21</v>
      </c>
      <c r="F121" s="30" t="s">
        <v>113</v>
      </c>
      <c r="G121" s="30" t="s">
        <v>41</v>
      </c>
      <c r="H121" s="30" t="s">
        <v>285</v>
      </c>
      <c r="I121" s="31">
        <v>44713.0</v>
      </c>
      <c r="J121" s="32"/>
      <c r="K121" s="33">
        <v>45809.0</v>
      </c>
      <c r="L121" s="30">
        <v>1.0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29" t="s">
        <v>452</v>
      </c>
      <c r="B122" s="30" t="s">
        <v>445</v>
      </c>
      <c r="C122" s="30" t="s">
        <v>454</v>
      </c>
      <c r="D122" s="30" t="s">
        <v>20</v>
      </c>
      <c r="E122" s="30" t="s">
        <v>21</v>
      </c>
      <c r="F122" s="30" t="s">
        <v>113</v>
      </c>
      <c r="G122" s="30" t="s">
        <v>41</v>
      </c>
      <c r="H122" s="30" t="s">
        <v>285</v>
      </c>
      <c r="I122" s="31">
        <v>44713.0</v>
      </c>
      <c r="J122" s="32"/>
      <c r="K122" s="33">
        <v>45809.0</v>
      </c>
      <c r="L122" s="30">
        <v>1.0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29" t="s">
        <v>455</v>
      </c>
      <c r="B123" s="30" t="s">
        <v>456</v>
      </c>
      <c r="C123" s="35"/>
      <c r="D123" s="35"/>
      <c r="E123" s="30" t="s">
        <v>21</v>
      </c>
      <c r="F123" s="30" t="s">
        <v>213</v>
      </c>
      <c r="G123" s="30" t="s">
        <v>457</v>
      </c>
      <c r="H123" s="30" t="s">
        <v>36</v>
      </c>
      <c r="I123" s="31">
        <v>45444.0</v>
      </c>
      <c r="J123" s="32"/>
      <c r="K123" s="33">
        <v>46539.0</v>
      </c>
      <c r="L123" s="30">
        <v>1.0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29" t="s">
        <v>458</v>
      </c>
      <c r="B124" s="30" t="s">
        <v>459</v>
      </c>
      <c r="C124" s="30" t="s">
        <v>460</v>
      </c>
      <c r="D124" s="30" t="s">
        <v>20</v>
      </c>
      <c r="E124" s="30" t="s">
        <v>21</v>
      </c>
      <c r="F124" s="30" t="s">
        <v>157</v>
      </c>
      <c r="G124" s="30" t="s">
        <v>29</v>
      </c>
      <c r="H124" s="30" t="s">
        <v>172</v>
      </c>
      <c r="I124" s="31">
        <v>45444.0</v>
      </c>
      <c r="J124" s="32"/>
      <c r="K124" s="33">
        <v>46539.0</v>
      </c>
      <c r="L124" s="30">
        <v>1.0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29" t="s">
        <v>461</v>
      </c>
      <c r="B125" s="30" t="s">
        <v>462</v>
      </c>
      <c r="C125" s="30" t="s">
        <v>463</v>
      </c>
      <c r="D125" s="30" t="s">
        <v>46</v>
      </c>
      <c r="E125" s="30" t="s">
        <v>21</v>
      </c>
      <c r="F125" s="30" t="s">
        <v>464</v>
      </c>
      <c r="G125" s="30" t="s">
        <v>41</v>
      </c>
      <c r="H125" s="30" t="s">
        <v>98</v>
      </c>
      <c r="I125" s="31">
        <v>44713.0</v>
      </c>
      <c r="J125" s="32"/>
      <c r="K125" s="33">
        <v>45809.0</v>
      </c>
      <c r="L125" s="30">
        <v>1.0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29" t="s">
        <v>461</v>
      </c>
      <c r="B126" s="30" t="s">
        <v>465</v>
      </c>
      <c r="C126" s="30" t="s">
        <v>466</v>
      </c>
      <c r="D126" s="30" t="s">
        <v>152</v>
      </c>
      <c r="E126" s="30" t="s">
        <v>21</v>
      </c>
      <c r="F126" s="30" t="s">
        <v>467</v>
      </c>
      <c r="G126" s="30" t="s">
        <v>79</v>
      </c>
      <c r="H126" s="30" t="s">
        <v>98</v>
      </c>
      <c r="I126" s="31">
        <v>44713.0</v>
      </c>
      <c r="J126" s="32"/>
      <c r="K126" s="33">
        <v>45809.0</v>
      </c>
      <c r="L126" s="30">
        <v>1.0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29" t="s">
        <v>468</v>
      </c>
      <c r="B127" s="30" t="s">
        <v>469</v>
      </c>
      <c r="C127" s="30" t="s">
        <v>470</v>
      </c>
      <c r="D127" s="30" t="s">
        <v>57</v>
      </c>
      <c r="E127" s="30" t="s">
        <v>21</v>
      </c>
      <c r="F127" s="30" t="s">
        <v>78</v>
      </c>
      <c r="G127" s="30" t="s">
        <v>79</v>
      </c>
      <c r="H127" s="30" t="s">
        <v>80</v>
      </c>
      <c r="I127" s="31">
        <v>44713.0</v>
      </c>
      <c r="J127" s="32"/>
      <c r="K127" s="33">
        <v>45809.0</v>
      </c>
      <c r="L127" s="30">
        <v>1.0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29" t="s">
        <v>471</v>
      </c>
      <c r="B128" s="30" t="s">
        <v>150</v>
      </c>
      <c r="C128" s="30" t="s">
        <v>472</v>
      </c>
      <c r="D128" s="30" t="s">
        <v>126</v>
      </c>
      <c r="E128" s="30" t="s">
        <v>21</v>
      </c>
      <c r="F128" s="30" t="s">
        <v>72</v>
      </c>
      <c r="G128" s="30" t="s">
        <v>35</v>
      </c>
      <c r="H128" s="30" t="s">
        <v>148</v>
      </c>
      <c r="I128" s="31">
        <v>45444.0</v>
      </c>
      <c r="J128" s="32"/>
      <c r="K128" s="33">
        <v>46539.0</v>
      </c>
      <c r="L128" s="30">
        <v>1.0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29" t="s">
        <v>471</v>
      </c>
      <c r="B129" s="30" t="s">
        <v>473</v>
      </c>
      <c r="C129" s="30" t="s">
        <v>474</v>
      </c>
      <c r="D129" s="30" t="s">
        <v>126</v>
      </c>
      <c r="E129" s="30" t="s">
        <v>21</v>
      </c>
      <c r="F129" s="30" t="s">
        <v>138</v>
      </c>
      <c r="G129" s="30" t="s">
        <v>29</v>
      </c>
      <c r="H129" s="30" t="s">
        <v>154</v>
      </c>
      <c r="I129" s="31">
        <v>45444.0</v>
      </c>
      <c r="J129" s="32"/>
      <c r="K129" s="33">
        <v>46539.0</v>
      </c>
      <c r="L129" s="30">
        <v>1.0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29" t="s">
        <v>475</v>
      </c>
      <c r="B130" s="30" t="s">
        <v>476</v>
      </c>
      <c r="C130" s="30" t="s">
        <v>477</v>
      </c>
      <c r="D130" s="30" t="s">
        <v>102</v>
      </c>
      <c r="E130" s="30" t="s">
        <v>21</v>
      </c>
      <c r="F130" s="30" t="s">
        <v>113</v>
      </c>
      <c r="G130" s="30" t="s">
        <v>79</v>
      </c>
      <c r="H130" s="30" t="s">
        <v>290</v>
      </c>
      <c r="I130" s="31">
        <v>44713.0</v>
      </c>
      <c r="J130" s="32"/>
      <c r="K130" s="33">
        <v>45809.0</v>
      </c>
      <c r="L130" s="30">
        <v>1.0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29" t="s">
        <v>478</v>
      </c>
      <c r="B131" s="30" t="s">
        <v>345</v>
      </c>
      <c r="C131" s="30" t="s">
        <v>479</v>
      </c>
      <c r="D131" s="30" t="s">
        <v>27</v>
      </c>
      <c r="E131" s="30" t="s">
        <v>21</v>
      </c>
      <c r="F131" s="30" t="s">
        <v>66</v>
      </c>
      <c r="G131" s="30" t="s">
        <v>35</v>
      </c>
      <c r="H131" s="30" t="s">
        <v>103</v>
      </c>
      <c r="I131" s="31">
        <v>45444.0</v>
      </c>
      <c r="J131" s="32"/>
      <c r="K131" s="33">
        <v>46539.0</v>
      </c>
      <c r="L131" s="30">
        <v>1.0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29" t="s">
        <v>480</v>
      </c>
      <c r="B132" s="30" t="s">
        <v>100</v>
      </c>
      <c r="C132" s="30" t="s">
        <v>481</v>
      </c>
      <c r="D132" s="30" t="s">
        <v>71</v>
      </c>
      <c r="E132" s="30" t="s">
        <v>21</v>
      </c>
      <c r="F132" s="30" t="s">
        <v>482</v>
      </c>
      <c r="G132" s="30" t="s">
        <v>91</v>
      </c>
      <c r="H132" s="30" t="s">
        <v>124</v>
      </c>
      <c r="I132" s="31">
        <v>43617.0</v>
      </c>
      <c r="J132" s="32"/>
      <c r="K132" s="33">
        <v>45809.0</v>
      </c>
      <c r="L132" s="30">
        <v>1.0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29" t="s">
        <v>480</v>
      </c>
      <c r="B133" s="30" t="s">
        <v>88</v>
      </c>
      <c r="C133" s="30" t="s">
        <v>483</v>
      </c>
      <c r="D133" s="30" t="s">
        <v>71</v>
      </c>
      <c r="E133" s="30" t="s">
        <v>21</v>
      </c>
      <c r="F133" s="30" t="s">
        <v>482</v>
      </c>
      <c r="G133" s="30" t="s">
        <v>91</v>
      </c>
      <c r="H133" s="30" t="s">
        <v>124</v>
      </c>
      <c r="I133" s="31">
        <v>43617.0</v>
      </c>
      <c r="J133" s="32"/>
      <c r="K133" s="33">
        <v>45809.0</v>
      </c>
      <c r="L133" s="30">
        <v>1.0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29" t="s">
        <v>484</v>
      </c>
      <c r="B134" s="30" t="s">
        <v>485</v>
      </c>
      <c r="C134" s="30" t="s">
        <v>486</v>
      </c>
      <c r="D134" s="30" t="s">
        <v>77</v>
      </c>
      <c r="E134" s="30" t="s">
        <v>21</v>
      </c>
      <c r="F134" s="30" t="s">
        <v>157</v>
      </c>
      <c r="G134" s="30" t="s">
        <v>35</v>
      </c>
      <c r="H134" s="30" t="s">
        <v>129</v>
      </c>
      <c r="I134" s="31">
        <v>45444.0</v>
      </c>
      <c r="J134" s="32"/>
      <c r="K134" s="33">
        <v>46539.0</v>
      </c>
      <c r="L134" s="30">
        <v>1.0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29" t="s">
        <v>484</v>
      </c>
      <c r="B135" s="30" t="s">
        <v>487</v>
      </c>
      <c r="C135" s="30" t="s">
        <v>488</v>
      </c>
      <c r="D135" s="30" t="s">
        <v>57</v>
      </c>
      <c r="E135" s="30" t="s">
        <v>21</v>
      </c>
      <c r="F135" s="30" t="s">
        <v>157</v>
      </c>
      <c r="G135" s="30" t="s">
        <v>35</v>
      </c>
      <c r="H135" s="30" t="s">
        <v>129</v>
      </c>
      <c r="I135" s="31">
        <v>45444.0</v>
      </c>
      <c r="J135" s="32"/>
      <c r="K135" s="33">
        <v>46539.0</v>
      </c>
      <c r="L135" s="30">
        <v>1.0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29" t="s">
        <v>489</v>
      </c>
      <c r="B136" s="30" t="s">
        <v>299</v>
      </c>
      <c r="C136" s="30" t="s">
        <v>490</v>
      </c>
      <c r="D136" s="30" t="s">
        <v>65</v>
      </c>
      <c r="E136" s="30" t="s">
        <v>21</v>
      </c>
      <c r="F136" s="30" t="s">
        <v>491</v>
      </c>
      <c r="G136" s="30" t="s">
        <v>79</v>
      </c>
      <c r="H136" s="30" t="s">
        <v>318</v>
      </c>
      <c r="I136" s="31">
        <v>44713.0</v>
      </c>
      <c r="J136" s="32"/>
      <c r="K136" s="33">
        <v>45809.0</v>
      </c>
      <c r="L136" s="30">
        <v>1.0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29" t="s">
        <v>492</v>
      </c>
      <c r="B137" s="30" t="s">
        <v>82</v>
      </c>
      <c r="C137" s="35"/>
      <c r="D137" s="35"/>
      <c r="E137" s="30" t="s">
        <v>177</v>
      </c>
      <c r="F137" s="30" t="s">
        <v>243</v>
      </c>
      <c r="G137" s="30">
        <v>1.0</v>
      </c>
      <c r="H137" s="30" t="s">
        <v>244</v>
      </c>
      <c r="I137" s="31">
        <v>45078.0</v>
      </c>
      <c r="J137" s="32"/>
      <c r="K137" s="33">
        <v>46174.0</v>
      </c>
      <c r="L137" s="30">
        <v>1.0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29" t="s">
        <v>493</v>
      </c>
      <c r="B138" s="30" t="s">
        <v>494</v>
      </c>
      <c r="C138" s="30" t="s">
        <v>495</v>
      </c>
      <c r="D138" s="30" t="s">
        <v>27</v>
      </c>
      <c r="E138" s="35"/>
      <c r="F138" s="30" t="s">
        <v>157</v>
      </c>
      <c r="G138" s="30" t="s">
        <v>35</v>
      </c>
      <c r="H138" s="30" t="s">
        <v>103</v>
      </c>
      <c r="I138" s="31">
        <v>45444.0</v>
      </c>
      <c r="J138" s="32"/>
      <c r="K138" s="33">
        <v>46539.0</v>
      </c>
      <c r="L138" s="30">
        <v>1.0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29" t="s">
        <v>496</v>
      </c>
      <c r="B139" s="30" t="s">
        <v>497</v>
      </c>
      <c r="C139" s="35"/>
      <c r="D139" s="35"/>
      <c r="E139" s="35"/>
      <c r="F139" s="30" t="s">
        <v>66</v>
      </c>
      <c r="G139" s="30" t="s">
        <v>35</v>
      </c>
      <c r="H139" s="30" t="s">
        <v>36</v>
      </c>
      <c r="I139" s="31">
        <v>45444.0</v>
      </c>
      <c r="J139" s="32"/>
      <c r="K139" s="33">
        <v>46539.0</v>
      </c>
      <c r="L139" s="30">
        <v>1.0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29" t="s">
        <v>498</v>
      </c>
      <c r="B140" s="30" t="s">
        <v>499</v>
      </c>
      <c r="C140" s="30" t="s">
        <v>500</v>
      </c>
      <c r="D140" s="30" t="s">
        <v>137</v>
      </c>
      <c r="E140" s="35"/>
      <c r="F140" s="30" t="s">
        <v>72</v>
      </c>
      <c r="G140" s="30" t="s">
        <v>91</v>
      </c>
      <c r="H140" s="30" t="s">
        <v>168</v>
      </c>
      <c r="I140" s="31">
        <v>45444.0</v>
      </c>
      <c r="J140" s="32"/>
      <c r="K140" s="33">
        <v>46539.0</v>
      </c>
      <c r="L140" s="30">
        <v>1.0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29" t="s">
        <v>501</v>
      </c>
      <c r="B141" s="30" t="s">
        <v>502</v>
      </c>
      <c r="C141" s="30" t="s">
        <v>503</v>
      </c>
      <c r="D141" s="30" t="s">
        <v>266</v>
      </c>
      <c r="E141" s="30" t="s">
        <v>21</v>
      </c>
      <c r="F141" s="30" t="s">
        <v>113</v>
      </c>
      <c r="G141" s="30" t="s">
        <v>85</v>
      </c>
      <c r="H141" s="30" t="s">
        <v>290</v>
      </c>
      <c r="I141" s="31">
        <v>44713.0</v>
      </c>
      <c r="J141" s="32"/>
      <c r="K141" s="33">
        <v>45809.0</v>
      </c>
      <c r="L141" s="30">
        <v>1.0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29" t="s">
        <v>504</v>
      </c>
      <c r="B142" s="30" t="s">
        <v>505</v>
      </c>
      <c r="C142" s="30" t="s">
        <v>506</v>
      </c>
      <c r="D142" s="30" t="s">
        <v>128</v>
      </c>
      <c r="E142" s="35"/>
      <c r="F142" s="30" t="s">
        <v>72</v>
      </c>
      <c r="G142" s="30" t="s">
        <v>91</v>
      </c>
      <c r="H142" s="30" t="s">
        <v>164</v>
      </c>
      <c r="I142" s="31">
        <v>45444.0</v>
      </c>
      <c r="J142" s="32"/>
      <c r="K142" s="33">
        <v>46539.0</v>
      </c>
      <c r="L142" s="30">
        <v>1.0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29" t="s">
        <v>507</v>
      </c>
      <c r="B143" s="30" t="s">
        <v>508</v>
      </c>
      <c r="C143" s="30" t="s">
        <v>60</v>
      </c>
      <c r="D143" s="30" t="s">
        <v>46</v>
      </c>
      <c r="E143" s="30" t="s">
        <v>21</v>
      </c>
      <c r="F143" s="30" t="s">
        <v>78</v>
      </c>
      <c r="G143" s="30" t="s">
        <v>85</v>
      </c>
      <c r="H143" s="30" t="s">
        <v>290</v>
      </c>
      <c r="I143" s="31">
        <v>44713.0</v>
      </c>
      <c r="J143" s="32"/>
      <c r="K143" s="33">
        <v>45809.0</v>
      </c>
      <c r="L143" s="30">
        <v>1.0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41" t="s">
        <v>509</v>
      </c>
      <c r="B144" s="42" t="s">
        <v>510</v>
      </c>
      <c r="C144" s="43"/>
      <c r="D144" s="43"/>
      <c r="E144" s="43"/>
      <c r="F144" s="42" t="s">
        <v>119</v>
      </c>
      <c r="G144" s="43"/>
      <c r="H144" s="43"/>
      <c r="I144" s="44">
        <v>45444.0</v>
      </c>
      <c r="J144" s="44">
        <v>46539.0</v>
      </c>
      <c r="K144" s="45">
        <v>47635.0</v>
      </c>
      <c r="L144" s="46">
        <v>2.0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41" t="s">
        <v>511</v>
      </c>
      <c r="B145" s="42" t="s">
        <v>291</v>
      </c>
      <c r="C145" s="43"/>
      <c r="D145" s="43"/>
      <c r="E145" s="43"/>
      <c r="F145" s="42" t="s">
        <v>119</v>
      </c>
      <c r="G145" s="43"/>
      <c r="H145" s="43"/>
      <c r="I145" s="44">
        <v>45444.0</v>
      </c>
      <c r="J145" s="44">
        <v>46539.0</v>
      </c>
      <c r="K145" s="45">
        <v>47635.0</v>
      </c>
      <c r="L145" s="46">
        <v>2.0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29" t="s">
        <v>363</v>
      </c>
      <c r="B146" s="30" t="s">
        <v>512</v>
      </c>
      <c r="C146" s="30" t="s">
        <v>513</v>
      </c>
      <c r="D146" s="30" t="s">
        <v>163</v>
      </c>
      <c r="E146" s="35"/>
      <c r="F146" s="30" t="s">
        <v>66</v>
      </c>
      <c r="G146" s="30" t="s">
        <v>35</v>
      </c>
      <c r="H146" s="30" t="s">
        <v>164</v>
      </c>
      <c r="I146" s="31">
        <v>45444.0</v>
      </c>
      <c r="J146" s="32"/>
      <c r="K146" s="33">
        <v>46539.0</v>
      </c>
      <c r="L146" s="30">
        <v>1.0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29" t="s">
        <v>514</v>
      </c>
      <c r="B147" s="30" t="s">
        <v>515</v>
      </c>
      <c r="C147" s="30" t="s">
        <v>516</v>
      </c>
      <c r="D147" s="30" t="s">
        <v>46</v>
      </c>
      <c r="E147" s="30" t="s">
        <v>21</v>
      </c>
      <c r="F147" s="30" t="s">
        <v>517</v>
      </c>
      <c r="G147" s="30" t="s">
        <v>91</v>
      </c>
      <c r="H147" s="30" t="s">
        <v>30</v>
      </c>
      <c r="I147" s="31">
        <v>42522.0</v>
      </c>
      <c r="J147" s="32"/>
      <c r="K147" s="33">
        <v>47635.0</v>
      </c>
      <c r="L147" s="30">
        <v>1.0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29" t="s">
        <v>518</v>
      </c>
      <c r="B148" s="30" t="s">
        <v>519</v>
      </c>
      <c r="C148" s="30" t="s">
        <v>520</v>
      </c>
      <c r="D148" s="30" t="s">
        <v>521</v>
      </c>
      <c r="E148" s="30" t="s">
        <v>21</v>
      </c>
      <c r="F148" s="30" t="s">
        <v>196</v>
      </c>
      <c r="G148" s="30" t="s">
        <v>91</v>
      </c>
      <c r="H148" s="30" t="s">
        <v>36</v>
      </c>
      <c r="I148" s="31">
        <v>45444.0</v>
      </c>
      <c r="J148" s="31">
        <v>46539.0</v>
      </c>
      <c r="K148" s="33">
        <v>47635.0</v>
      </c>
      <c r="L148" s="30">
        <v>2.0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41" t="s">
        <v>522</v>
      </c>
      <c r="B149" s="42" t="s">
        <v>523</v>
      </c>
      <c r="C149" s="43"/>
      <c r="D149" s="43"/>
      <c r="E149" s="43"/>
      <c r="F149" s="42" t="s">
        <v>119</v>
      </c>
      <c r="G149" s="43"/>
      <c r="H149" s="43"/>
      <c r="I149" s="44">
        <v>45444.0</v>
      </c>
      <c r="J149" s="44">
        <v>46539.0</v>
      </c>
      <c r="K149" s="45">
        <v>47635.0</v>
      </c>
      <c r="L149" s="46">
        <v>2.0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29" t="s">
        <v>522</v>
      </c>
      <c r="B150" s="30" t="s">
        <v>524</v>
      </c>
      <c r="C150" s="30" t="s">
        <v>122</v>
      </c>
      <c r="D150" s="30" t="s">
        <v>20</v>
      </c>
      <c r="E150" s="35"/>
      <c r="F150" s="30" t="s">
        <v>66</v>
      </c>
      <c r="G150" s="30" t="s">
        <v>91</v>
      </c>
      <c r="H150" s="30" t="s">
        <v>172</v>
      </c>
      <c r="I150" s="31">
        <v>45444.0</v>
      </c>
      <c r="J150" s="32"/>
      <c r="K150" s="33">
        <v>46539.0</v>
      </c>
      <c r="L150" s="30">
        <v>1.0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29" t="s">
        <v>525</v>
      </c>
      <c r="B151" s="30" t="s">
        <v>44</v>
      </c>
      <c r="C151" s="30" t="s">
        <v>526</v>
      </c>
      <c r="D151" s="30" t="s">
        <v>266</v>
      </c>
      <c r="E151" s="30" t="s">
        <v>21</v>
      </c>
      <c r="F151" s="30" t="s">
        <v>351</v>
      </c>
      <c r="G151" s="30">
        <v>1.0</v>
      </c>
      <c r="H151" s="30" t="s">
        <v>279</v>
      </c>
      <c r="I151" s="31">
        <v>45078.0</v>
      </c>
      <c r="J151" s="32"/>
      <c r="K151" s="33">
        <v>46174.0</v>
      </c>
      <c r="L151" s="30">
        <v>1.0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29" t="s">
        <v>527</v>
      </c>
      <c r="B152" s="30" t="s">
        <v>528</v>
      </c>
      <c r="C152" s="30" t="s">
        <v>529</v>
      </c>
      <c r="D152" s="30" t="s">
        <v>20</v>
      </c>
      <c r="E152" s="30" t="s">
        <v>21</v>
      </c>
      <c r="F152" s="30" t="s">
        <v>530</v>
      </c>
      <c r="G152" s="30" t="s">
        <v>85</v>
      </c>
      <c r="H152" s="30" t="s">
        <v>98</v>
      </c>
      <c r="I152" s="31">
        <v>44713.0</v>
      </c>
      <c r="J152" s="31">
        <v>45809.0</v>
      </c>
      <c r="K152" s="33">
        <v>46905.0</v>
      </c>
      <c r="L152" s="30">
        <v>2.0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29" t="s">
        <v>527</v>
      </c>
      <c r="B153" s="30" t="s">
        <v>531</v>
      </c>
      <c r="C153" s="30" t="s">
        <v>532</v>
      </c>
      <c r="D153" s="30" t="s">
        <v>430</v>
      </c>
      <c r="E153" s="35"/>
      <c r="F153" s="30" t="s">
        <v>157</v>
      </c>
      <c r="G153" s="30" t="s">
        <v>29</v>
      </c>
      <c r="H153" s="30" t="s">
        <v>148</v>
      </c>
      <c r="I153" s="31">
        <v>45444.0</v>
      </c>
      <c r="J153" s="32"/>
      <c r="K153" s="33">
        <v>46539.0</v>
      </c>
      <c r="L153" s="30">
        <v>1.0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29" t="s">
        <v>527</v>
      </c>
      <c r="B154" s="30" t="s">
        <v>533</v>
      </c>
      <c r="C154" s="30" t="s">
        <v>532</v>
      </c>
      <c r="D154" s="30" t="s">
        <v>430</v>
      </c>
      <c r="E154" s="35"/>
      <c r="F154" s="30" t="s">
        <v>157</v>
      </c>
      <c r="G154" s="30" t="s">
        <v>29</v>
      </c>
      <c r="H154" s="30" t="s">
        <v>148</v>
      </c>
      <c r="I154" s="31">
        <v>45444.0</v>
      </c>
      <c r="J154" s="32"/>
      <c r="K154" s="33">
        <v>46539.0</v>
      </c>
      <c r="L154" s="30">
        <v>1.0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29" t="s">
        <v>527</v>
      </c>
      <c r="B155" s="30" t="s">
        <v>534</v>
      </c>
      <c r="C155" s="30" t="s">
        <v>535</v>
      </c>
      <c r="D155" s="30" t="s">
        <v>137</v>
      </c>
      <c r="E155" s="35"/>
      <c r="F155" s="30" t="s">
        <v>536</v>
      </c>
      <c r="G155" s="30" t="s">
        <v>91</v>
      </c>
      <c r="H155" s="30" t="s">
        <v>168</v>
      </c>
      <c r="I155" s="31">
        <v>45444.0</v>
      </c>
      <c r="J155" s="32"/>
      <c r="K155" s="33">
        <v>46539.0</v>
      </c>
      <c r="L155" s="30">
        <v>1.0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29" t="s">
        <v>527</v>
      </c>
      <c r="B156" s="30" t="s">
        <v>537</v>
      </c>
      <c r="C156" s="30" t="s">
        <v>538</v>
      </c>
      <c r="D156" s="30" t="s">
        <v>20</v>
      </c>
      <c r="E156" s="35"/>
      <c r="F156" s="30" t="s">
        <v>157</v>
      </c>
      <c r="G156" s="30" t="s">
        <v>35</v>
      </c>
      <c r="H156" s="30" t="s">
        <v>172</v>
      </c>
      <c r="I156" s="31">
        <v>45444.0</v>
      </c>
      <c r="J156" s="32"/>
      <c r="K156" s="33">
        <v>46539.0</v>
      </c>
      <c r="L156" s="30">
        <v>1.0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41" t="s">
        <v>539</v>
      </c>
      <c r="B157" s="42" t="s">
        <v>540</v>
      </c>
      <c r="C157" s="43"/>
      <c r="D157" s="43"/>
      <c r="E157" s="43"/>
      <c r="F157" s="42" t="s">
        <v>119</v>
      </c>
      <c r="G157" s="43"/>
      <c r="H157" s="43"/>
      <c r="I157" s="44">
        <v>45444.0</v>
      </c>
      <c r="J157" s="44">
        <v>46539.0</v>
      </c>
      <c r="K157" s="45">
        <v>47635.0</v>
      </c>
      <c r="L157" s="46">
        <v>2.0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29" t="s">
        <v>541</v>
      </c>
      <c r="B158" s="30" t="s">
        <v>542</v>
      </c>
      <c r="C158" s="30" t="s">
        <v>543</v>
      </c>
      <c r="D158" s="30" t="s">
        <v>46</v>
      </c>
      <c r="E158" s="35"/>
      <c r="F158" s="30" t="s">
        <v>544</v>
      </c>
      <c r="G158" s="30" t="s">
        <v>35</v>
      </c>
      <c r="H158" s="30" t="s">
        <v>164</v>
      </c>
      <c r="I158" s="31">
        <v>45444.0</v>
      </c>
      <c r="J158" s="32"/>
      <c r="K158" s="33">
        <v>46539.0</v>
      </c>
      <c r="L158" s="30">
        <v>1.0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29" t="s">
        <v>545</v>
      </c>
      <c r="B159" s="30" t="s">
        <v>141</v>
      </c>
      <c r="C159" s="30" t="s">
        <v>546</v>
      </c>
      <c r="D159" s="30" t="s">
        <v>152</v>
      </c>
      <c r="E159" s="30" t="s">
        <v>21</v>
      </c>
      <c r="F159" s="30" t="s">
        <v>547</v>
      </c>
      <c r="G159" s="30">
        <v>3.0</v>
      </c>
      <c r="H159" s="30" t="s">
        <v>202</v>
      </c>
      <c r="I159" s="31">
        <v>45078.0</v>
      </c>
      <c r="J159" s="32"/>
      <c r="K159" s="33">
        <v>46174.0</v>
      </c>
      <c r="L159" s="30">
        <v>1.0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29" t="s">
        <v>548</v>
      </c>
      <c r="B160" s="30" t="s">
        <v>549</v>
      </c>
      <c r="C160" s="30" t="s">
        <v>550</v>
      </c>
      <c r="D160" s="30" t="s">
        <v>102</v>
      </c>
      <c r="E160" s="30" t="s">
        <v>21</v>
      </c>
      <c r="F160" s="30" t="s">
        <v>551</v>
      </c>
      <c r="G160" s="35"/>
      <c r="H160" s="30" t="s">
        <v>30</v>
      </c>
      <c r="I160" s="31">
        <v>36892.0</v>
      </c>
      <c r="J160" s="32"/>
      <c r="K160" s="33">
        <v>47635.0</v>
      </c>
      <c r="L160" s="30">
        <v>1.0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29" t="s">
        <v>552</v>
      </c>
      <c r="B161" s="30" t="s">
        <v>553</v>
      </c>
      <c r="C161" s="30" t="s">
        <v>554</v>
      </c>
      <c r="D161" s="30" t="s">
        <v>20</v>
      </c>
      <c r="E161" s="35"/>
      <c r="F161" s="30" t="s">
        <v>153</v>
      </c>
      <c r="G161" s="30" t="s">
        <v>35</v>
      </c>
      <c r="H161" s="30" t="s">
        <v>172</v>
      </c>
      <c r="I161" s="31">
        <v>45444.0</v>
      </c>
      <c r="J161" s="32"/>
      <c r="K161" s="33">
        <v>46539.0</v>
      </c>
      <c r="L161" s="30">
        <v>1.0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29" t="s">
        <v>555</v>
      </c>
      <c r="B162" s="30" t="s">
        <v>166</v>
      </c>
      <c r="C162" s="30" t="s">
        <v>101</v>
      </c>
      <c r="D162" s="30" t="s">
        <v>102</v>
      </c>
      <c r="E162" s="35"/>
      <c r="F162" s="30" t="s">
        <v>66</v>
      </c>
      <c r="G162" s="30" t="s">
        <v>29</v>
      </c>
      <c r="H162" s="30" t="s">
        <v>103</v>
      </c>
      <c r="I162" s="31">
        <v>45444.0</v>
      </c>
      <c r="J162" s="32"/>
      <c r="K162" s="33">
        <v>46539.0</v>
      </c>
      <c r="L162" s="30">
        <v>1.0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29" t="s">
        <v>556</v>
      </c>
      <c r="B163" s="30" t="s">
        <v>557</v>
      </c>
      <c r="C163" s="30" t="s">
        <v>550</v>
      </c>
      <c r="D163" s="30" t="s">
        <v>102</v>
      </c>
      <c r="E163" s="30" t="s">
        <v>21</v>
      </c>
      <c r="F163" s="30" t="s">
        <v>401</v>
      </c>
      <c r="G163" s="30" t="s">
        <v>29</v>
      </c>
      <c r="H163" s="30" t="s">
        <v>36</v>
      </c>
      <c r="I163" s="31">
        <v>43617.0</v>
      </c>
      <c r="J163" s="31">
        <v>46539.0</v>
      </c>
      <c r="K163" s="33">
        <v>47635.0</v>
      </c>
      <c r="L163" s="30">
        <v>2.0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29" t="s">
        <v>558</v>
      </c>
      <c r="B164" s="30" t="s">
        <v>502</v>
      </c>
      <c r="C164" s="30" t="s">
        <v>559</v>
      </c>
      <c r="D164" s="30" t="s">
        <v>137</v>
      </c>
      <c r="E164" s="30" t="s">
        <v>21</v>
      </c>
      <c r="F164" s="30" t="s">
        <v>58</v>
      </c>
      <c r="G164" s="30">
        <v>2.0</v>
      </c>
      <c r="H164" s="30" t="s">
        <v>357</v>
      </c>
      <c r="I164" s="31">
        <v>45078.0</v>
      </c>
      <c r="J164" s="32"/>
      <c r="K164" s="33">
        <v>46174.0</v>
      </c>
      <c r="L164" s="30">
        <v>1.0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29" t="s">
        <v>560</v>
      </c>
      <c r="B165" s="30" t="s">
        <v>561</v>
      </c>
      <c r="C165" s="30" t="s">
        <v>562</v>
      </c>
      <c r="D165" s="30" t="s">
        <v>27</v>
      </c>
      <c r="E165" s="30" t="s">
        <v>21</v>
      </c>
      <c r="F165" s="30" t="s">
        <v>47</v>
      </c>
      <c r="G165" s="30">
        <v>3.0</v>
      </c>
      <c r="H165" s="30" t="s">
        <v>244</v>
      </c>
      <c r="I165" s="31">
        <v>45078.0</v>
      </c>
      <c r="J165" s="32"/>
      <c r="K165" s="33">
        <v>46174.0</v>
      </c>
      <c r="L165" s="30">
        <v>1.0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29" t="s">
        <v>563</v>
      </c>
      <c r="B166" s="30" t="s">
        <v>229</v>
      </c>
      <c r="C166" s="30" t="s">
        <v>564</v>
      </c>
      <c r="D166" s="30" t="s">
        <v>185</v>
      </c>
      <c r="E166" s="35"/>
      <c r="F166" s="30" t="s">
        <v>138</v>
      </c>
      <c r="G166" s="30" t="s">
        <v>29</v>
      </c>
      <c r="H166" s="30" t="s">
        <v>129</v>
      </c>
      <c r="I166" s="31">
        <v>45444.0</v>
      </c>
      <c r="J166" s="32"/>
      <c r="K166" s="33">
        <v>46539.0</v>
      </c>
      <c r="L166" s="30">
        <v>1.0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29" t="s">
        <v>565</v>
      </c>
      <c r="B167" s="30" t="s">
        <v>385</v>
      </c>
      <c r="C167" s="30" t="s">
        <v>566</v>
      </c>
      <c r="D167" s="30" t="s">
        <v>65</v>
      </c>
      <c r="E167" s="30" t="s">
        <v>21</v>
      </c>
      <c r="F167" s="30" t="s">
        <v>351</v>
      </c>
      <c r="G167" s="30">
        <v>1.0</v>
      </c>
      <c r="H167" s="30" t="s">
        <v>271</v>
      </c>
      <c r="I167" s="31">
        <v>45078.0</v>
      </c>
      <c r="J167" s="32"/>
      <c r="K167" s="33">
        <v>46174.0</v>
      </c>
      <c r="L167" s="30">
        <v>1.0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29" t="s">
        <v>567</v>
      </c>
      <c r="B168" s="30" t="s">
        <v>568</v>
      </c>
      <c r="C168" s="35"/>
      <c r="D168" s="35"/>
      <c r="E168" s="35"/>
      <c r="F168" s="30" t="s">
        <v>569</v>
      </c>
      <c r="G168" s="30" t="s">
        <v>391</v>
      </c>
      <c r="H168" s="30" t="s">
        <v>36</v>
      </c>
      <c r="I168" s="31">
        <v>45444.0</v>
      </c>
      <c r="J168" s="32"/>
      <c r="K168" s="33">
        <v>46539.0</v>
      </c>
      <c r="L168" s="30">
        <v>1.0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29" t="s">
        <v>570</v>
      </c>
      <c r="B169" s="30" t="s">
        <v>519</v>
      </c>
      <c r="C169" s="30" t="s">
        <v>571</v>
      </c>
      <c r="D169" s="30" t="s">
        <v>20</v>
      </c>
      <c r="E169" s="30" t="s">
        <v>21</v>
      </c>
      <c r="F169" s="30" t="s">
        <v>351</v>
      </c>
      <c r="G169" s="30">
        <v>1.0</v>
      </c>
      <c r="H169" s="30" t="s">
        <v>23</v>
      </c>
      <c r="I169" s="31">
        <v>45078.0</v>
      </c>
      <c r="J169" s="32"/>
      <c r="K169" s="33">
        <v>46174.0</v>
      </c>
      <c r="L169" s="30">
        <v>1.0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29" t="s">
        <v>572</v>
      </c>
      <c r="B170" s="30" t="s">
        <v>573</v>
      </c>
      <c r="C170" s="35"/>
      <c r="D170" s="35"/>
      <c r="E170" s="30" t="s">
        <v>21</v>
      </c>
      <c r="F170" s="35"/>
      <c r="G170" s="35"/>
      <c r="H170" s="30" t="s">
        <v>188</v>
      </c>
      <c r="I170" s="31">
        <v>44348.0</v>
      </c>
      <c r="J170" s="32"/>
      <c r="K170" s="33">
        <v>46539.0</v>
      </c>
      <c r="L170" s="30">
        <v>1.0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29" t="s">
        <v>574</v>
      </c>
      <c r="B171" s="30" t="s">
        <v>575</v>
      </c>
      <c r="C171" s="30" t="s">
        <v>576</v>
      </c>
      <c r="D171" s="30" t="s">
        <v>20</v>
      </c>
      <c r="E171" s="35"/>
      <c r="F171" s="30" t="s">
        <v>153</v>
      </c>
      <c r="G171" s="30" t="s">
        <v>29</v>
      </c>
      <c r="H171" s="30" t="s">
        <v>172</v>
      </c>
      <c r="I171" s="31">
        <v>45444.0</v>
      </c>
      <c r="J171" s="32"/>
      <c r="K171" s="33">
        <v>46539.0</v>
      </c>
      <c r="L171" s="30">
        <v>1.0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29" t="s">
        <v>577</v>
      </c>
      <c r="B172" s="30" t="s">
        <v>578</v>
      </c>
      <c r="C172" s="30" t="s">
        <v>579</v>
      </c>
      <c r="D172" s="30" t="s">
        <v>102</v>
      </c>
      <c r="E172" s="30" t="s">
        <v>21</v>
      </c>
      <c r="F172" s="30" t="s">
        <v>580</v>
      </c>
      <c r="G172" s="30" t="s">
        <v>41</v>
      </c>
      <c r="H172" s="30" t="s">
        <v>290</v>
      </c>
      <c r="I172" s="31">
        <v>44713.0</v>
      </c>
      <c r="J172" s="32"/>
      <c r="K172" s="33">
        <v>45809.0</v>
      </c>
      <c r="L172" s="30">
        <v>1.0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29" t="s">
        <v>581</v>
      </c>
      <c r="B173" s="30" t="s">
        <v>320</v>
      </c>
      <c r="C173" s="30" t="s">
        <v>582</v>
      </c>
      <c r="D173" s="30" t="s">
        <v>27</v>
      </c>
      <c r="E173" s="30" t="s">
        <v>21</v>
      </c>
      <c r="F173" s="30" t="s">
        <v>62</v>
      </c>
      <c r="G173" s="30">
        <v>1.0</v>
      </c>
      <c r="H173" s="30" t="s">
        <v>48</v>
      </c>
      <c r="I173" s="31">
        <v>45078.0</v>
      </c>
      <c r="J173" s="31">
        <v>46174.0</v>
      </c>
      <c r="K173" s="33">
        <v>47270.0</v>
      </c>
      <c r="L173" s="30">
        <v>2.0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29" t="s">
        <v>583</v>
      </c>
      <c r="B174" s="30" t="s">
        <v>584</v>
      </c>
      <c r="C174" s="35"/>
      <c r="D174" s="30" t="s">
        <v>305</v>
      </c>
      <c r="E174" s="30" t="s">
        <v>585</v>
      </c>
      <c r="F174" s="30" t="s">
        <v>267</v>
      </c>
      <c r="G174" s="35"/>
      <c r="H174" s="30" t="s">
        <v>30</v>
      </c>
      <c r="I174" s="31">
        <v>36892.0</v>
      </c>
      <c r="J174" s="32"/>
      <c r="K174" s="33">
        <v>47635.0</v>
      </c>
      <c r="L174" s="30">
        <v>1.0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29" t="s">
        <v>586</v>
      </c>
      <c r="B175" s="30" t="s">
        <v>587</v>
      </c>
      <c r="C175" s="30" t="s">
        <v>588</v>
      </c>
      <c r="D175" s="30" t="s">
        <v>27</v>
      </c>
      <c r="E175" s="30" t="s">
        <v>21</v>
      </c>
      <c r="F175" s="30" t="s">
        <v>243</v>
      </c>
      <c r="G175" s="30">
        <v>3.0</v>
      </c>
      <c r="H175" s="30" t="s">
        <v>244</v>
      </c>
      <c r="I175" s="31">
        <v>45078.0</v>
      </c>
      <c r="J175" s="32"/>
      <c r="K175" s="33">
        <v>46174.0</v>
      </c>
      <c r="L175" s="30">
        <v>1.0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29" t="s">
        <v>589</v>
      </c>
      <c r="B176" s="30" t="s">
        <v>166</v>
      </c>
      <c r="C176" s="30" t="s">
        <v>590</v>
      </c>
      <c r="D176" s="30" t="s">
        <v>270</v>
      </c>
      <c r="E176" s="35"/>
      <c r="F176" s="30" t="s">
        <v>376</v>
      </c>
      <c r="G176" s="30" t="s">
        <v>91</v>
      </c>
      <c r="H176" s="30" t="s">
        <v>67</v>
      </c>
      <c r="I176" s="31">
        <v>45444.0</v>
      </c>
      <c r="J176" s="32"/>
      <c r="K176" s="33">
        <v>46539.0</v>
      </c>
      <c r="L176" s="30">
        <v>1.0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29" t="s">
        <v>591</v>
      </c>
      <c r="B177" s="30" t="s">
        <v>553</v>
      </c>
      <c r="C177" s="30" t="s">
        <v>592</v>
      </c>
      <c r="D177" s="30" t="s">
        <v>57</v>
      </c>
      <c r="E177" s="35"/>
      <c r="F177" s="30" t="s">
        <v>66</v>
      </c>
      <c r="G177" s="30" t="s">
        <v>91</v>
      </c>
      <c r="H177" s="30" t="s">
        <v>129</v>
      </c>
      <c r="I177" s="31">
        <v>45444.0</v>
      </c>
      <c r="J177" s="32"/>
      <c r="K177" s="33">
        <v>46539.0</v>
      </c>
      <c r="L177" s="30">
        <v>1.0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29" t="s">
        <v>593</v>
      </c>
      <c r="B178" s="30" t="s">
        <v>183</v>
      </c>
      <c r="C178" s="30" t="s">
        <v>594</v>
      </c>
      <c r="D178" s="30" t="s">
        <v>595</v>
      </c>
      <c r="E178" s="30" t="s">
        <v>21</v>
      </c>
      <c r="F178" s="30" t="s">
        <v>22</v>
      </c>
      <c r="G178" s="30" t="s">
        <v>79</v>
      </c>
      <c r="H178" s="30" t="s">
        <v>86</v>
      </c>
      <c r="I178" s="31">
        <v>44713.0</v>
      </c>
      <c r="J178" s="32"/>
      <c r="K178" s="33">
        <v>45809.0</v>
      </c>
      <c r="L178" s="30">
        <v>1.0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29" t="s">
        <v>596</v>
      </c>
      <c r="B179" s="30" t="s">
        <v>597</v>
      </c>
      <c r="C179" s="30" t="s">
        <v>598</v>
      </c>
      <c r="D179" s="30" t="s">
        <v>270</v>
      </c>
      <c r="E179" s="30" t="s">
        <v>21</v>
      </c>
      <c r="F179" s="30" t="s">
        <v>243</v>
      </c>
      <c r="G179" s="30">
        <v>2.0</v>
      </c>
      <c r="H179" s="30" t="s">
        <v>224</v>
      </c>
      <c r="I179" s="31">
        <v>45078.0</v>
      </c>
      <c r="J179" s="32"/>
      <c r="K179" s="33">
        <v>46174.0</v>
      </c>
      <c r="L179" s="30">
        <v>1.0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29" t="s">
        <v>599</v>
      </c>
      <c r="B180" s="30" t="s">
        <v>303</v>
      </c>
      <c r="C180" s="30" t="s">
        <v>600</v>
      </c>
      <c r="D180" s="30" t="s">
        <v>46</v>
      </c>
      <c r="E180" s="30" t="s">
        <v>21</v>
      </c>
      <c r="F180" s="30" t="s">
        <v>517</v>
      </c>
      <c r="G180" s="30" t="s">
        <v>35</v>
      </c>
      <c r="H180" s="30" t="s">
        <v>30</v>
      </c>
      <c r="I180" s="31">
        <v>36892.0</v>
      </c>
      <c r="J180" s="32"/>
      <c r="K180" s="33">
        <v>47635.0</v>
      </c>
      <c r="L180" s="30">
        <v>1.0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29" t="s">
        <v>601</v>
      </c>
      <c r="B181" s="30" t="s">
        <v>602</v>
      </c>
      <c r="C181" s="30" t="s">
        <v>603</v>
      </c>
      <c r="D181" s="30" t="s">
        <v>84</v>
      </c>
      <c r="E181" s="35"/>
      <c r="F181" s="30" t="s">
        <v>138</v>
      </c>
      <c r="G181" s="30" t="s">
        <v>35</v>
      </c>
      <c r="H181" s="30" t="s">
        <v>164</v>
      </c>
      <c r="I181" s="31">
        <v>45444.0</v>
      </c>
      <c r="J181" s="32"/>
      <c r="K181" s="33">
        <v>46539.0</v>
      </c>
      <c r="L181" s="30">
        <v>1.0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29" t="s">
        <v>604</v>
      </c>
      <c r="B182" s="30" t="s">
        <v>242</v>
      </c>
      <c r="C182" s="30" t="s">
        <v>526</v>
      </c>
      <c r="D182" s="30" t="s">
        <v>266</v>
      </c>
      <c r="E182" s="30" t="s">
        <v>21</v>
      </c>
      <c r="F182" s="30" t="s">
        <v>243</v>
      </c>
      <c r="G182" s="30">
        <v>3.0</v>
      </c>
      <c r="H182" s="30" t="s">
        <v>279</v>
      </c>
      <c r="I182" s="31">
        <v>45078.0</v>
      </c>
      <c r="J182" s="32"/>
      <c r="K182" s="33">
        <v>46174.0</v>
      </c>
      <c r="L182" s="30">
        <v>1.0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29" t="s">
        <v>605</v>
      </c>
      <c r="B183" s="30" t="s">
        <v>606</v>
      </c>
      <c r="C183" s="30" t="s">
        <v>607</v>
      </c>
      <c r="D183" s="30" t="s">
        <v>102</v>
      </c>
      <c r="E183" s="30" t="s">
        <v>21</v>
      </c>
      <c r="F183" s="30" t="s">
        <v>196</v>
      </c>
      <c r="G183" s="30" t="s">
        <v>29</v>
      </c>
      <c r="H183" s="30" t="s">
        <v>36</v>
      </c>
      <c r="I183" s="31">
        <v>45078.0</v>
      </c>
      <c r="J183" s="31">
        <v>46539.0</v>
      </c>
      <c r="K183" s="33">
        <v>47635.0</v>
      </c>
      <c r="L183" s="30">
        <v>2.0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29" t="s">
        <v>608</v>
      </c>
      <c r="B184" s="30" t="s">
        <v>609</v>
      </c>
      <c r="C184" s="30" t="s">
        <v>466</v>
      </c>
      <c r="D184" s="30" t="s">
        <v>152</v>
      </c>
      <c r="E184" s="30" t="s">
        <v>21</v>
      </c>
      <c r="F184" s="30" t="s">
        <v>243</v>
      </c>
      <c r="G184" s="30">
        <v>1.0</v>
      </c>
      <c r="H184" s="30" t="s">
        <v>202</v>
      </c>
      <c r="I184" s="31">
        <v>45078.0</v>
      </c>
      <c r="J184" s="32"/>
      <c r="K184" s="33">
        <v>46174.0</v>
      </c>
      <c r="L184" s="30">
        <v>1.0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29" t="s">
        <v>610</v>
      </c>
      <c r="B185" s="30" t="s">
        <v>519</v>
      </c>
      <c r="C185" s="30" t="s">
        <v>611</v>
      </c>
      <c r="D185" s="30" t="s">
        <v>65</v>
      </c>
      <c r="E185" s="30" t="s">
        <v>21</v>
      </c>
      <c r="F185" s="30" t="s">
        <v>243</v>
      </c>
      <c r="G185" s="30">
        <v>2.0</v>
      </c>
      <c r="H185" s="30" t="s">
        <v>271</v>
      </c>
      <c r="I185" s="31">
        <v>45078.0</v>
      </c>
      <c r="J185" s="32"/>
      <c r="K185" s="33">
        <v>46174.0</v>
      </c>
      <c r="L185" s="30">
        <v>1.0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29" t="s">
        <v>612</v>
      </c>
      <c r="B186" s="30" t="s">
        <v>104</v>
      </c>
      <c r="C186" s="30" t="s">
        <v>613</v>
      </c>
      <c r="D186" s="30" t="s">
        <v>275</v>
      </c>
      <c r="E186" s="35"/>
      <c r="F186" s="30" t="s">
        <v>138</v>
      </c>
      <c r="G186" s="30" t="s">
        <v>29</v>
      </c>
      <c r="H186" s="30" t="s">
        <v>139</v>
      </c>
      <c r="I186" s="31">
        <v>45444.0</v>
      </c>
      <c r="J186" s="32"/>
      <c r="K186" s="33">
        <v>46539.0</v>
      </c>
      <c r="L186" s="30">
        <v>1.0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29" t="s">
        <v>614</v>
      </c>
      <c r="B187" s="30" t="s">
        <v>615</v>
      </c>
      <c r="C187" s="30" t="s">
        <v>616</v>
      </c>
      <c r="D187" s="30" t="s">
        <v>137</v>
      </c>
      <c r="E187" s="30" t="s">
        <v>21</v>
      </c>
      <c r="F187" s="30" t="s">
        <v>123</v>
      </c>
      <c r="G187" s="30" t="s">
        <v>29</v>
      </c>
      <c r="H187" s="30" t="s">
        <v>124</v>
      </c>
      <c r="I187" s="31">
        <v>43617.0</v>
      </c>
      <c r="J187" s="32"/>
      <c r="K187" s="33">
        <v>45809.0</v>
      </c>
      <c r="L187" s="30">
        <v>1.0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29" t="s">
        <v>617</v>
      </c>
      <c r="B188" s="30" t="s">
        <v>618</v>
      </c>
      <c r="C188" s="30" t="s">
        <v>619</v>
      </c>
      <c r="D188" s="30" t="s">
        <v>107</v>
      </c>
      <c r="E188" s="35"/>
      <c r="F188" s="30" t="s">
        <v>66</v>
      </c>
      <c r="G188" s="30" t="s">
        <v>29</v>
      </c>
      <c r="H188" s="30" t="s">
        <v>108</v>
      </c>
      <c r="I188" s="31">
        <v>45444.0</v>
      </c>
      <c r="J188" s="32"/>
      <c r="K188" s="33">
        <v>46539.0</v>
      </c>
      <c r="L188" s="30">
        <v>1.0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29" t="s">
        <v>620</v>
      </c>
      <c r="B189" s="30" t="s">
        <v>414</v>
      </c>
      <c r="C189" s="30" t="s">
        <v>621</v>
      </c>
      <c r="D189" s="30" t="s">
        <v>65</v>
      </c>
      <c r="E189" s="30" t="s">
        <v>21</v>
      </c>
      <c r="F189" s="30" t="s">
        <v>243</v>
      </c>
      <c r="G189" s="30">
        <v>3.0</v>
      </c>
      <c r="H189" s="30" t="s">
        <v>271</v>
      </c>
      <c r="I189" s="31">
        <v>45078.0</v>
      </c>
      <c r="J189" s="32"/>
      <c r="K189" s="33">
        <v>46174.0</v>
      </c>
      <c r="L189" s="30">
        <v>1.0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29" t="s">
        <v>622</v>
      </c>
      <c r="B190" s="30" t="s">
        <v>623</v>
      </c>
      <c r="C190" s="30" t="s">
        <v>624</v>
      </c>
      <c r="D190" s="30" t="s">
        <v>152</v>
      </c>
      <c r="E190" s="35"/>
      <c r="F190" s="30" t="s">
        <v>157</v>
      </c>
      <c r="G190" s="30" t="s">
        <v>29</v>
      </c>
      <c r="H190" s="30" t="s">
        <v>154</v>
      </c>
      <c r="I190" s="31">
        <v>45444.0</v>
      </c>
      <c r="J190" s="32"/>
      <c r="K190" s="33">
        <v>46539.0</v>
      </c>
      <c r="L190" s="30">
        <v>1.0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29" t="s">
        <v>625</v>
      </c>
      <c r="B191" s="30" t="s">
        <v>131</v>
      </c>
      <c r="C191" s="30" t="s">
        <v>626</v>
      </c>
      <c r="D191" s="30" t="s">
        <v>266</v>
      </c>
      <c r="E191" s="30" t="s">
        <v>21</v>
      </c>
      <c r="F191" s="30" t="s">
        <v>201</v>
      </c>
      <c r="G191" s="30">
        <v>1.0</v>
      </c>
      <c r="H191" s="30" t="s">
        <v>279</v>
      </c>
      <c r="I191" s="31">
        <v>45078.0</v>
      </c>
      <c r="J191" s="32"/>
      <c r="K191" s="33">
        <v>46174.0</v>
      </c>
      <c r="L191" s="30">
        <v>1.0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29" t="s">
        <v>627</v>
      </c>
      <c r="B192" s="30" t="s">
        <v>628</v>
      </c>
      <c r="C192" s="30" t="s">
        <v>629</v>
      </c>
      <c r="D192" s="30" t="s">
        <v>57</v>
      </c>
      <c r="E192" s="35"/>
      <c r="F192" s="30" t="s">
        <v>196</v>
      </c>
      <c r="G192" s="30" t="s">
        <v>35</v>
      </c>
      <c r="H192" s="30" t="s">
        <v>129</v>
      </c>
      <c r="I192" s="31">
        <v>45444.0</v>
      </c>
      <c r="J192" s="32"/>
      <c r="K192" s="33">
        <v>46539.0</v>
      </c>
      <c r="L192" s="30">
        <v>1.0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29" t="s">
        <v>630</v>
      </c>
      <c r="B193" s="30" t="s">
        <v>166</v>
      </c>
      <c r="C193" s="30" t="s">
        <v>631</v>
      </c>
      <c r="D193" s="35"/>
      <c r="E193" s="30" t="s">
        <v>304</v>
      </c>
      <c r="F193" s="30" t="s">
        <v>72</v>
      </c>
      <c r="G193" s="30" t="s">
        <v>35</v>
      </c>
      <c r="H193" s="30" t="s">
        <v>73</v>
      </c>
      <c r="I193" s="31">
        <v>45444.0</v>
      </c>
      <c r="J193" s="32"/>
      <c r="K193" s="33">
        <v>46539.0</v>
      </c>
      <c r="L193" s="30">
        <v>1.0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29" t="s">
        <v>632</v>
      </c>
      <c r="B194" s="30" t="s">
        <v>633</v>
      </c>
      <c r="C194" s="30" t="s">
        <v>634</v>
      </c>
      <c r="D194" s="30" t="s">
        <v>275</v>
      </c>
      <c r="E194" s="35"/>
      <c r="F194" s="30" t="s">
        <v>147</v>
      </c>
      <c r="G194" s="30" t="s">
        <v>35</v>
      </c>
      <c r="H194" s="30" t="s">
        <v>139</v>
      </c>
      <c r="I194" s="31">
        <v>45444.0</v>
      </c>
      <c r="J194" s="32"/>
      <c r="K194" s="33">
        <v>46539.0</v>
      </c>
      <c r="L194" s="30">
        <v>1.0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29" t="s">
        <v>635</v>
      </c>
      <c r="B195" s="30" t="s">
        <v>636</v>
      </c>
      <c r="C195" s="30" t="s">
        <v>637</v>
      </c>
      <c r="D195" s="30" t="s">
        <v>275</v>
      </c>
      <c r="E195" s="35"/>
      <c r="F195" s="30" t="s">
        <v>66</v>
      </c>
      <c r="G195" s="30" t="s">
        <v>29</v>
      </c>
      <c r="H195" s="30" t="s">
        <v>139</v>
      </c>
      <c r="I195" s="31">
        <v>45444.0</v>
      </c>
      <c r="J195" s="32"/>
      <c r="K195" s="33">
        <v>46539.0</v>
      </c>
      <c r="L195" s="30">
        <v>1.0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29" t="s">
        <v>638</v>
      </c>
      <c r="B196" s="30" t="s">
        <v>639</v>
      </c>
      <c r="C196" s="30" t="s">
        <v>640</v>
      </c>
      <c r="D196" s="30" t="s">
        <v>266</v>
      </c>
      <c r="E196" s="30" t="s">
        <v>21</v>
      </c>
      <c r="F196" s="30" t="s">
        <v>641</v>
      </c>
      <c r="G196" s="30" t="s">
        <v>35</v>
      </c>
      <c r="H196" s="30" t="s">
        <v>36</v>
      </c>
      <c r="I196" s="31">
        <v>45078.0</v>
      </c>
      <c r="J196" s="31">
        <v>46539.0</v>
      </c>
      <c r="K196" s="33">
        <v>47635.0</v>
      </c>
      <c r="L196" s="30">
        <v>2.0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29" t="s">
        <v>642</v>
      </c>
      <c r="B197" s="30" t="s">
        <v>643</v>
      </c>
      <c r="C197" s="35"/>
      <c r="D197" s="35"/>
      <c r="E197" s="30" t="s">
        <v>644</v>
      </c>
      <c r="F197" s="30" t="s">
        <v>387</v>
      </c>
      <c r="G197" s="30" t="s">
        <v>35</v>
      </c>
      <c r="H197" s="30" t="s">
        <v>36</v>
      </c>
      <c r="I197" s="31">
        <v>45444.0</v>
      </c>
      <c r="J197" s="31">
        <v>46539.0</v>
      </c>
      <c r="K197" s="33">
        <v>47635.0</v>
      </c>
      <c r="L197" s="30">
        <v>2.0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29" t="s">
        <v>645</v>
      </c>
      <c r="B198" s="30" t="s">
        <v>646</v>
      </c>
      <c r="C198" s="30" t="s">
        <v>647</v>
      </c>
      <c r="D198" s="30" t="s">
        <v>137</v>
      </c>
      <c r="E198" s="35"/>
      <c r="F198" s="30" t="s">
        <v>72</v>
      </c>
      <c r="G198" s="30" t="s">
        <v>35</v>
      </c>
      <c r="H198" s="30" t="s">
        <v>168</v>
      </c>
      <c r="I198" s="31">
        <v>45444.0</v>
      </c>
      <c r="J198" s="32"/>
      <c r="K198" s="33">
        <v>46539.0</v>
      </c>
      <c r="L198" s="30">
        <v>1.0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29" t="s">
        <v>645</v>
      </c>
      <c r="B199" s="30" t="s">
        <v>648</v>
      </c>
      <c r="C199" s="30" t="s">
        <v>649</v>
      </c>
      <c r="D199" s="30" t="s">
        <v>266</v>
      </c>
      <c r="E199" s="35"/>
      <c r="F199" s="30" t="s">
        <v>147</v>
      </c>
      <c r="G199" s="30" t="s">
        <v>91</v>
      </c>
      <c r="H199" s="30" t="s">
        <v>139</v>
      </c>
      <c r="I199" s="31">
        <v>45444.0</v>
      </c>
      <c r="J199" s="32"/>
      <c r="K199" s="33">
        <v>46539.0</v>
      </c>
      <c r="L199" s="30">
        <v>1.0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29" t="s">
        <v>650</v>
      </c>
      <c r="B200" s="30" t="s">
        <v>651</v>
      </c>
      <c r="C200" s="35"/>
      <c r="D200" s="35"/>
      <c r="E200" s="35"/>
      <c r="F200" s="30" t="s">
        <v>569</v>
      </c>
      <c r="G200" s="30" t="s">
        <v>391</v>
      </c>
      <c r="H200" s="30" t="s">
        <v>36</v>
      </c>
      <c r="I200" s="31">
        <v>45444.0</v>
      </c>
      <c r="J200" s="32"/>
      <c r="K200" s="33">
        <v>46539.0</v>
      </c>
      <c r="L200" s="30">
        <v>1.0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29" t="s">
        <v>652</v>
      </c>
      <c r="B201" s="30" t="s">
        <v>359</v>
      </c>
      <c r="C201" s="35"/>
      <c r="D201" s="35"/>
      <c r="E201" s="35"/>
      <c r="F201" s="30" t="s">
        <v>66</v>
      </c>
      <c r="G201" s="30" t="s">
        <v>29</v>
      </c>
      <c r="H201" s="30" t="s">
        <v>36</v>
      </c>
      <c r="I201" s="31">
        <v>45444.0</v>
      </c>
      <c r="J201" s="32"/>
      <c r="K201" s="33">
        <v>46539.0</v>
      </c>
      <c r="L201" s="30">
        <v>1.0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29" t="s">
        <v>653</v>
      </c>
      <c r="B202" s="30" t="s">
        <v>654</v>
      </c>
      <c r="C202" s="30" t="s">
        <v>655</v>
      </c>
      <c r="D202" s="30" t="s">
        <v>266</v>
      </c>
      <c r="E202" s="30" t="s">
        <v>21</v>
      </c>
      <c r="F202" s="30" t="s">
        <v>547</v>
      </c>
      <c r="G202" s="30">
        <v>1.0</v>
      </c>
      <c r="H202" s="30" t="s">
        <v>279</v>
      </c>
      <c r="I202" s="31">
        <v>45078.0</v>
      </c>
      <c r="J202" s="32"/>
      <c r="K202" s="33">
        <v>46174.0</v>
      </c>
      <c r="L202" s="30">
        <v>1.0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41" t="s">
        <v>656</v>
      </c>
      <c r="B203" s="42" t="s">
        <v>515</v>
      </c>
      <c r="C203" s="43"/>
      <c r="D203" s="43"/>
      <c r="E203" s="43"/>
      <c r="F203" s="42" t="s">
        <v>119</v>
      </c>
      <c r="G203" s="43"/>
      <c r="H203" s="43"/>
      <c r="I203" s="44">
        <v>45444.0</v>
      </c>
      <c r="J203" s="44">
        <v>46539.0</v>
      </c>
      <c r="K203" s="45">
        <v>47635.0</v>
      </c>
      <c r="L203" s="46">
        <v>2.0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29" t="s">
        <v>657</v>
      </c>
      <c r="B204" s="30" t="s">
        <v>658</v>
      </c>
      <c r="C204" s="30" t="s">
        <v>659</v>
      </c>
      <c r="D204" s="30" t="s">
        <v>71</v>
      </c>
      <c r="E204" s="30" t="s">
        <v>21</v>
      </c>
      <c r="F204" s="30" t="s">
        <v>143</v>
      </c>
      <c r="G204" s="35"/>
      <c r="H204" s="35"/>
      <c r="I204" s="31">
        <v>45444.0</v>
      </c>
      <c r="J204" s="31">
        <v>46539.0</v>
      </c>
      <c r="K204" s="33">
        <v>47635.0</v>
      </c>
      <c r="L204" s="30">
        <v>2.0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29" t="s">
        <v>660</v>
      </c>
      <c r="B205" s="30" t="s">
        <v>661</v>
      </c>
      <c r="C205" s="30" t="s">
        <v>662</v>
      </c>
      <c r="D205" s="30" t="s">
        <v>126</v>
      </c>
      <c r="E205" s="30" t="s">
        <v>21</v>
      </c>
      <c r="F205" s="30" t="s">
        <v>22</v>
      </c>
      <c r="G205" s="30" t="s">
        <v>85</v>
      </c>
      <c r="H205" s="30" t="s">
        <v>42</v>
      </c>
      <c r="I205" s="31">
        <v>44713.0</v>
      </c>
      <c r="J205" s="32"/>
      <c r="K205" s="33">
        <v>45809.0</v>
      </c>
      <c r="L205" s="30">
        <v>1.0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29" t="s">
        <v>663</v>
      </c>
      <c r="B206" s="30" t="s">
        <v>25</v>
      </c>
      <c r="C206" s="30" t="s">
        <v>326</v>
      </c>
      <c r="D206" s="30" t="s">
        <v>128</v>
      </c>
      <c r="E206" s="35"/>
      <c r="F206" s="30" t="s">
        <v>66</v>
      </c>
      <c r="G206" s="30" t="s">
        <v>29</v>
      </c>
      <c r="H206" s="30" t="s">
        <v>164</v>
      </c>
      <c r="I206" s="31">
        <v>45444.0</v>
      </c>
      <c r="J206" s="32"/>
      <c r="K206" s="33">
        <v>46539.0</v>
      </c>
      <c r="L206" s="30">
        <v>1.0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29" t="s">
        <v>664</v>
      </c>
      <c r="B207" s="30" t="s">
        <v>665</v>
      </c>
      <c r="C207" s="30" t="s">
        <v>666</v>
      </c>
      <c r="D207" s="30" t="s">
        <v>65</v>
      </c>
      <c r="E207" s="30" t="s">
        <v>21</v>
      </c>
      <c r="F207" s="30" t="s">
        <v>667</v>
      </c>
      <c r="G207" s="30" t="s">
        <v>85</v>
      </c>
      <c r="H207" s="30" t="s">
        <v>98</v>
      </c>
      <c r="I207" s="31">
        <v>44713.0</v>
      </c>
      <c r="J207" s="31">
        <v>45809.0</v>
      </c>
      <c r="K207" s="33">
        <v>46905.0</v>
      </c>
      <c r="L207" s="30">
        <v>2.0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29" t="s">
        <v>668</v>
      </c>
      <c r="B208" s="30" t="s">
        <v>104</v>
      </c>
      <c r="C208" s="30" t="s">
        <v>669</v>
      </c>
      <c r="D208" s="30" t="s">
        <v>71</v>
      </c>
      <c r="E208" s="35"/>
      <c r="F208" s="30" t="s">
        <v>157</v>
      </c>
      <c r="G208" s="30" t="s">
        <v>35</v>
      </c>
      <c r="H208" s="30" t="s">
        <v>73</v>
      </c>
      <c r="I208" s="31">
        <v>45444.0</v>
      </c>
      <c r="J208" s="32"/>
      <c r="K208" s="33">
        <v>46539.0</v>
      </c>
      <c r="L208" s="30">
        <v>1.0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29" t="s">
        <v>670</v>
      </c>
      <c r="B209" s="30" t="s">
        <v>671</v>
      </c>
      <c r="C209" s="30" t="s">
        <v>672</v>
      </c>
      <c r="D209" s="30" t="s">
        <v>137</v>
      </c>
      <c r="E209" s="30" t="s">
        <v>21</v>
      </c>
      <c r="F209" s="30" t="s">
        <v>673</v>
      </c>
      <c r="G209" s="30" t="s">
        <v>41</v>
      </c>
      <c r="H209" s="30" t="s">
        <v>98</v>
      </c>
      <c r="I209" s="31">
        <v>44713.0</v>
      </c>
      <c r="J209" s="32"/>
      <c r="K209" s="33">
        <v>45809.0</v>
      </c>
      <c r="L209" s="30">
        <v>1.0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29" t="s">
        <v>674</v>
      </c>
      <c r="B210" s="30" t="s">
        <v>277</v>
      </c>
      <c r="C210" s="30" t="s">
        <v>675</v>
      </c>
      <c r="D210" s="30" t="s">
        <v>163</v>
      </c>
      <c r="E210" s="30" t="s">
        <v>21</v>
      </c>
      <c r="F210" s="30" t="s">
        <v>243</v>
      </c>
      <c r="G210" s="30">
        <v>4.0</v>
      </c>
      <c r="H210" s="30" t="s">
        <v>48</v>
      </c>
      <c r="I210" s="31">
        <v>45078.0</v>
      </c>
      <c r="J210" s="32"/>
      <c r="K210" s="33">
        <v>46174.0</v>
      </c>
      <c r="L210" s="30">
        <v>1.0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29" t="s">
        <v>479</v>
      </c>
      <c r="B211" s="30" t="s">
        <v>409</v>
      </c>
      <c r="C211" s="30" t="s">
        <v>410</v>
      </c>
      <c r="D211" s="30" t="s">
        <v>137</v>
      </c>
      <c r="E211" s="35"/>
      <c r="F211" s="30" t="s">
        <v>157</v>
      </c>
      <c r="G211" s="30" t="s">
        <v>29</v>
      </c>
      <c r="H211" s="30" t="s">
        <v>103</v>
      </c>
      <c r="I211" s="31">
        <v>45444.0</v>
      </c>
      <c r="J211" s="32"/>
      <c r="K211" s="33">
        <v>46539.0</v>
      </c>
      <c r="L211" s="30">
        <v>1.0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29" t="s">
        <v>479</v>
      </c>
      <c r="B212" s="30" t="s">
        <v>407</v>
      </c>
      <c r="C212" s="35"/>
      <c r="D212" s="35"/>
      <c r="E212" s="30" t="s">
        <v>21</v>
      </c>
      <c r="F212" s="35"/>
      <c r="G212" s="35"/>
      <c r="H212" s="30" t="s">
        <v>676</v>
      </c>
      <c r="I212" s="31">
        <v>44348.0</v>
      </c>
      <c r="J212" s="32"/>
      <c r="K212" s="33">
        <v>46539.0</v>
      </c>
      <c r="L212" s="30">
        <v>1.0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29" t="s">
        <v>677</v>
      </c>
      <c r="B213" s="30" t="s">
        <v>678</v>
      </c>
      <c r="C213" s="30" t="s">
        <v>679</v>
      </c>
      <c r="D213" s="30" t="s">
        <v>71</v>
      </c>
      <c r="E213" s="30" t="s">
        <v>21</v>
      </c>
      <c r="F213" s="30" t="s">
        <v>680</v>
      </c>
      <c r="G213" s="30" t="s">
        <v>79</v>
      </c>
      <c r="H213" s="30" t="s">
        <v>98</v>
      </c>
      <c r="I213" s="31">
        <v>44713.0</v>
      </c>
      <c r="J213" s="32"/>
      <c r="K213" s="33">
        <v>45809.0</v>
      </c>
      <c r="L213" s="30">
        <v>1.0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29" t="s">
        <v>681</v>
      </c>
      <c r="B214" s="30" t="s">
        <v>682</v>
      </c>
      <c r="C214" s="30" t="s">
        <v>683</v>
      </c>
      <c r="D214" s="30" t="s">
        <v>684</v>
      </c>
      <c r="E214" s="30" t="s">
        <v>21</v>
      </c>
      <c r="F214" s="30" t="s">
        <v>243</v>
      </c>
      <c r="G214" s="30">
        <v>3.0</v>
      </c>
      <c r="H214" s="30" t="s">
        <v>202</v>
      </c>
      <c r="I214" s="31">
        <v>45078.0</v>
      </c>
      <c r="J214" s="32"/>
      <c r="K214" s="33">
        <v>46174.0</v>
      </c>
      <c r="L214" s="30">
        <v>1.0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29" t="s">
        <v>685</v>
      </c>
      <c r="B215" s="30" t="s">
        <v>32</v>
      </c>
      <c r="C215" s="30" t="s">
        <v>686</v>
      </c>
      <c r="D215" s="30" t="s">
        <v>27</v>
      </c>
      <c r="E215" s="30" t="s">
        <v>21</v>
      </c>
      <c r="F215" s="30" t="s">
        <v>517</v>
      </c>
      <c r="G215" s="30" t="s">
        <v>35</v>
      </c>
      <c r="H215" s="30" t="s">
        <v>30</v>
      </c>
      <c r="I215" s="31">
        <v>36892.0</v>
      </c>
      <c r="J215" s="32"/>
      <c r="K215" s="33">
        <v>47635.0</v>
      </c>
      <c r="L215" s="30">
        <v>1.0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29" t="s">
        <v>687</v>
      </c>
      <c r="B216" s="30" t="s">
        <v>688</v>
      </c>
      <c r="C216" s="30" t="s">
        <v>689</v>
      </c>
      <c r="D216" s="30" t="s">
        <v>27</v>
      </c>
      <c r="E216" s="30" t="s">
        <v>21</v>
      </c>
      <c r="F216" s="30" t="s">
        <v>248</v>
      </c>
      <c r="G216" s="30" t="s">
        <v>85</v>
      </c>
      <c r="H216" s="30" t="s">
        <v>116</v>
      </c>
      <c r="I216" s="31">
        <v>44713.0</v>
      </c>
      <c r="J216" s="32"/>
      <c r="K216" s="33">
        <v>45809.0</v>
      </c>
      <c r="L216" s="30">
        <v>1.0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29" t="s">
        <v>690</v>
      </c>
      <c r="B217" s="30" t="s">
        <v>691</v>
      </c>
      <c r="C217" s="35"/>
      <c r="D217" s="35"/>
      <c r="E217" s="35"/>
      <c r="F217" s="30" t="s">
        <v>569</v>
      </c>
      <c r="G217" s="30" t="s">
        <v>35</v>
      </c>
      <c r="H217" s="30" t="s">
        <v>36</v>
      </c>
      <c r="I217" s="31">
        <v>45444.0</v>
      </c>
      <c r="J217" s="32"/>
      <c r="K217" s="33">
        <v>46539.0</v>
      </c>
      <c r="L217" s="30">
        <v>1.0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29" t="s">
        <v>692</v>
      </c>
      <c r="B218" s="30" t="s">
        <v>693</v>
      </c>
      <c r="C218" s="30" t="s">
        <v>694</v>
      </c>
      <c r="D218" s="30" t="s">
        <v>46</v>
      </c>
      <c r="E218" s="30" t="s">
        <v>21</v>
      </c>
      <c r="F218" s="30" t="s">
        <v>695</v>
      </c>
      <c r="G218" s="30" t="s">
        <v>391</v>
      </c>
      <c r="H218" s="30" t="s">
        <v>30</v>
      </c>
      <c r="I218" s="31">
        <v>40695.0</v>
      </c>
      <c r="J218" s="32"/>
      <c r="K218" s="33">
        <v>47635.0</v>
      </c>
      <c r="L218" s="30">
        <v>1.0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29" t="s">
        <v>696</v>
      </c>
      <c r="B219" s="30" t="s">
        <v>697</v>
      </c>
      <c r="C219" s="30" t="s">
        <v>372</v>
      </c>
      <c r="D219" s="30" t="s">
        <v>27</v>
      </c>
      <c r="E219" s="30" t="s">
        <v>21</v>
      </c>
      <c r="F219" s="30" t="s">
        <v>78</v>
      </c>
      <c r="G219" s="30" t="s">
        <v>85</v>
      </c>
      <c r="H219" s="30" t="s">
        <v>133</v>
      </c>
      <c r="I219" s="31">
        <v>44713.0</v>
      </c>
      <c r="J219" s="32"/>
      <c r="K219" s="33">
        <v>45809.0</v>
      </c>
      <c r="L219" s="30">
        <v>1.0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29" t="s">
        <v>698</v>
      </c>
      <c r="B220" s="30" t="s">
        <v>699</v>
      </c>
      <c r="C220" s="30" t="s">
        <v>700</v>
      </c>
      <c r="D220" s="35"/>
      <c r="E220" s="30" t="s">
        <v>701</v>
      </c>
      <c r="F220" s="30" t="s">
        <v>702</v>
      </c>
      <c r="G220" s="30">
        <v>4.0</v>
      </c>
      <c r="H220" s="30" t="s">
        <v>48</v>
      </c>
      <c r="I220" s="31">
        <v>45078.0</v>
      </c>
      <c r="J220" s="31">
        <v>46174.0</v>
      </c>
      <c r="K220" s="33">
        <v>47270.0</v>
      </c>
      <c r="L220" s="30">
        <v>2.0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29" t="s">
        <v>703</v>
      </c>
      <c r="B221" s="30" t="s">
        <v>704</v>
      </c>
      <c r="C221" s="30" t="s">
        <v>705</v>
      </c>
      <c r="D221" s="30" t="s">
        <v>163</v>
      </c>
      <c r="E221" s="30" t="s">
        <v>21</v>
      </c>
      <c r="F221" s="30" t="s">
        <v>78</v>
      </c>
      <c r="G221" s="30" t="s">
        <v>85</v>
      </c>
      <c r="H221" s="30" t="s">
        <v>86</v>
      </c>
      <c r="I221" s="31">
        <v>44713.0</v>
      </c>
      <c r="J221" s="32"/>
      <c r="K221" s="33">
        <v>45809.0</v>
      </c>
      <c r="L221" s="30">
        <v>1.0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29" t="s">
        <v>706</v>
      </c>
      <c r="B222" s="30" t="s">
        <v>552</v>
      </c>
      <c r="C222" s="30" t="s">
        <v>707</v>
      </c>
      <c r="D222" s="30" t="s">
        <v>137</v>
      </c>
      <c r="E222" s="35"/>
      <c r="F222" s="30" t="s">
        <v>138</v>
      </c>
      <c r="G222" s="30" t="s">
        <v>29</v>
      </c>
      <c r="H222" s="30" t="s">
        <v>168</v>
      </c>
      <c r="I222" s="31">
        <v>45444.0</v>
      </c>
      <c r="J222" s="32"/>
      <c r="K222" s="33">
        <v>46539.0</v>
      </c>
      <c r="L222" s="30">
        <v>1.0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29" t="s">
        <v>708</v>
      </c>
      <c r="B223" s="30" t="s">
        <v>59</v>
      </c>
      <c r="C223" s="30" t="s">
        <v>252</v>
      </c>
      <c r="D223" s="30" t="s">
        <v>46</v>
      </c>
      <c r="E223" s="30" t="s">
        <v>21</v>
      </c>
      <c r="F223" s="30" t="s">
        <v>673</v>
      </c>
      <c r="G223" s="30" t="s">
        <v>85</v>
      </c>
      <c r="H223" s="30" t="s">
        <v>98</v>
      </c>
      <c r="I223" s="31">
        <v>44713.0</v>
      </c>
      <c r="J223" s="32"/>
      <c r="K223" s="33">
        <v>45809.0</v>
      </c>
      <c r="L223" s="30">
        <v>1.0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29" t="s">
        <v>709</v>
      </c>
      <c r="B224" s="30" t="s">
        <v>82</v>
      </c>
      <c r="C224" s="30" t="s">
        <v>710</v>
      </c>
      <c r="D224" s="30" t="s">
        <v>84</v>
      </c>
      <c r="E224" s="30" t="s">
        <v>21</v>
      </c>
      <c r="F224" s="30" t="s">
        <v>289</v>
      </c>
      <c r="G224" s="30" t="s">
        <v>41</v>
      </c>
      <c r="H224" s="30" t="s">
        <v>86</v>
      </c>
      <c r="I224" s="31">
        <v>44713.0</v>
      </c>
      <c r="J224" s="32"/>
      <c r="K224" s="33">
        <v>45809.0</v>
      </c>
      <c r="L224" s="30">
        <v>1.0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29" t="s">
        <v>711</v>
      </c>
      <c r="B225" s="30" t="s">
        <v>712</v>
      </c>
      <c r="C225" s="30" t="s">
        <v>713</v>
      </c>
      <c r="D225" s="30" t="s">
        <v>270</v>
      </c>
      <c r="E225" s="35"/>
      <c r="F225" s="30" t="s">
        <v>66</v>
      </c>
      <c r="G225" s="30" t="s">
        <v>91</v>
      </c>
      <c r="H225" s="30" t="s">
        <v>67</v>
      </c>
      <c r="I225" s="31">
        <v>45444.0</v>
      </c>
      <c r="J225" s="32"/>
      <c r="K225" s="33">
        <v>46539.0</v>
      </c>
      <c r="L225" s="30">
        <v>1.0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29" t="s">
        <v>711</v>
      </c>
      <c r="B226" s="30" t="s">
        <v>714</v>
      </c>
      <c r="C226" s="30" t="s">
        <v>715</v>
      </c>
      <c r="D226" s="30" t="s">
        <v>65</v>
      </c>
      <c r="E226" s="35"/>
      <c r="F226" s="30" t="s">
        <v>66</v>
      </c>
      <c r="G226" s="30" t="s">
        <v>29</v>
      </c>
      <c r="H226" s="30" t="s">
        <v>67</v>
      </c>
      <c r="I226" s="31">
        <v>45444.0</v>
      </c>
      <c r="J226" s="32"/>
      <c r="K226" s="33">
        <v>46539.0</v>
      </c>
      <c r="L226" s="30">
        <v>1.0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29" t="s">
        <v>716</v>
      </c>
      <c r="B227" s="30" t="s">
        <v>717</v>
      </c>
      <c r="C227" s="30" t="s">
        <v>341</v>
      </c>
      <c r="D227" s="30" t="s">
        <v>65</v>
      </c>
      <c r="E227" s="30" t="s">
        <v>21</v>
      </c>
      <c r="F227" s="30" t="s">
        <v>547</v>
      </c>
      <c r="G227" s="30">
        <v>3.0</v>
      </c>
      <c r="H227" s="30" t="s">
        <v>271</v>
      </c>
      <c r="I227" s="31">
        <v>45078.0</v>
      </c>
      <c r="J227" s="32"/>
      <c r="K227" s="33">
        <v>46174.0</v>
      </c>
      <c r="L227" s="30">
        <v>1.0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29" t="s">
        <v>716</v>
      </c>
      <c r="B228" s="30" t="s">
        <v>639</v>
      </c>
      <c r="C228" s="30" t="s">
        <v>718</v>
      </c>
      <c r="D228" s="30" t="s">
        <v>65</v>
      </c>
      <c r="E228" s="30" t="s">
        <v>21</v>
      </c>
      <c r="F228" s="30" t="s">
        <v>78</v>
      </c>
      <c r="G228" s="30" t="s">
        <v>41</v>
      </c>
      <c r="H228" s="30" t="s">
        <v>80</v>
      </c>
      <c r="I228" s="31">
        <v>44713.0</v>
      </c>
      <c r="J228" s="32"/>
      <c r="K228" s="33">
        <v>45809.0</v>
      </c>
      <c r="L228" s="30">
        <v>1.0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29" t="s">
        <v>719</v>
      </c>
      <c r="B229" s="30" t="s">
        <v>508</v>
      </c>
      <c r="C229" s="30" t="s">
        <v>341</v>
      </c>
      <c r="D229" s="30" t="s">
        <v>65</v>
      </c>
      <c r="E229" s="30" t="s">
        <v>21</v>
      </c>
      <c r="F229" s="30" t="s">
        <v>720</v>
      </c>
      <c r="G229" s="30" t="s">
        <v>91</v>
      </c>
      <c r="H229" s="30" t="s">
        <v>36</v>
      </c>
      <c r="I229" s="31">
        <v>45078.0</v>
      </c>
      <c r="J229" s="31">
        <v>46539.0</v>
      </c>
      <c r="K229" s="33">
        <v>47635.0</v>
      </c>
      <c r="L229" s="30">
        <v>2.0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29" t="s">
        <v>721</v>
      </c>
      <c r="B230" s="30" t="s">
        <v>722</v>
      </c>
      <c r="C230" s="30" t="s">
        <v>481</v>
      </c>
      <c r="D230" s="30" t="s">
        <v>71</v>
      </c>
      <c r="E230" s="35"/>
      <c r="F230" s="30" t="s">
        <v>66</v>
      </c>
      <c r="G230" s="30" t="s">
        <v>35</v>
      </c>
      <c r="H230" s="30" t="s">
        <v>73</v>
      </c>
      <c r="I230" s="31">
        <v>45444.0</v>
      </c>
      <c r="J230" s="32"/>
      <c r="K230" s="33">
        <v>46539.0</v>
      </c>
      <c r="L230" s="30">
        <v>1.0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29" t="s">
        <v>519</v>
      </c>
      <c r="B231" s="30" t="s">
        <v>723</v>
      </c>
      <c r="C231" s="30" t="s">
        <v>45</v>
      </c>
      <c r="D231" s="30" t="s">
        <v>46</v>
      </c>
      <c r="E231" s="30" t="s">
        <v>21</v>
      </c>
      <c r="F231" s="30" t="s">
        <v>720</v>
      </c>
      <c r="G231" s="30" t="s">
        <v>29</v>
      </c>
      <c r="H231" s="30" t="s">
        <v>36</v>
      </c>
      <c r="I231" s="31">
        <v>45078.0</v>
      </c>
      <c r="J231" s="31">
        <v>46539.0</v>
      </c>
      <c r="K231" s="33">
        <v>47635.0</v>
      </c>
      <c r="L231" s="30">
        <v>2.0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29" t="s">
        <v>724</v>
      </c>
      <c r="B232" s="30" t="s">
        <v>725</v>
      </c>
      <c r="C232" s="30" t="s">
        <v>333</v>
      </c>
      <c r="D232" s="30" t="s">
        <v>234</v>
      </c>
      <c r="E232" s="35"/>
      <c r="F232" s="30" t="s">
        <v>157</v>
      </c>
      <c r="G232" s="30" t="s">
        <v>29</v>
      </c>
      <c r="H232" s="30" t="s">
        <v>73</v>
      </c>
      <c r="I232" s="31">
        <v>45444.0</v>
      </c>
      <c r="J232" s="32"/>
      <c r="K232" s="33">
        <v>46539.0</v>
      </c>
      <c r="L232" s="30">
        <v>1.0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29" t="s">
        <v>726</v>
      </c>
      <c r="B233" s="30" t="s">
        <v>727</v>
      </c>
      <c r="C233" s="30" t="s">
        <v>728</v>
      </c>
      <c r="D233" s="30" t="s">
        <v>46</v>
      </c>
      <c r="E233" s="30" t="s">
        <v>21</v>
      </c>
      <c r="F233" s="30" t="s">
        <v>729</v>
      </c>
      <c r="G233" s="34">
        <v>45355.0</v>
      </c>
      <c r="H233" s="30" t="s">
        <v>48</v>
      </c>
      <c r="I233" s="31">
        <v>45078.0</v>
      </c>
      <c r="J233" s="31">
        <v>46174.0</v>
      </c>
      <c r="K233" s="33">
        <v>47270.0</v>
      </c>
      <c r="L233" s="30">
        <v>2.0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29" t="s">
        <v>730</v>
      </c>
      <c r="B234" s="30" t="s">
        <v>651</v>
      </c>
      <c r="C234" s="30" t="s">
        <v>731</v>
      </c>
      <c r="D234" s="30" t="s">
        <v>102</v>
      </c>
      <c r="E234" s="30" t="s">
        <v>21</v>
      </c>
      <c r="F234" s="30" t="s">
        <v>732</v>
      </c>
      <c r="G234" s="30" t="s">
        <v>391</v>
      </c>
      <c r="H234" s="30" t="s">
        <v>124</v>
      </c>
      <c r="I234" s="31">
        <v>43617.0</v>
      </c>
      <c r="J234" s="32"/>
      <c r="K234" s="33">
        <v>45809.0</v>
      </c>
      <c r="L234" s="30">
        <v>1.0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29" t="s">
        <v>733</v>
      </c>
      <c r="B235" s="30" t="s">
        <v>734</v>
      </c>
      <c r="C235" s="30" t="s">
        <v>735</v>
      </c>
      <c r="D235" s="30" t="s">
        <v>27</v>
      </c>
      <c r="E235" s="30" t="s">
        <v>21</v>
      </c>
      <c r="F235" s="30" t="s">
        <v>351</v>
      </c>
      <c r="G235" s="30">
        <v>1.0</v>
      </c>
      <c r="H235" s="30" t="s">
        <v>206</v>
      </c>
      <c r="I235" s="31">
        <v>45078.0</v>
      </c>
      <c r="J235" s="32"/>
      <c r="K235" s="33">
        <v>46174.0</v>
      </c>
      <c r="L235" s="30">
        <v>1.0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29" t="s">
        <v>736</v>
      </c>
      <c r="B236" s="30" t="s">
        <v>60</v>
      </c>
      <c r="C236" s="30" t="s">
        <v>341</v>
      </c>
      <c r="D236" s="30" t="s">
        <v>65</v>
      </c>
      <c r="E236" s="30" t="s">
        <v>21</v>
      </c>
      <c r="F236" s="30" t="s">
        <v>201</v>
      </c>
      <c r="G236" s="30">
        <v>3.0</v>
      </c>
      <c r="H236" s="30" t="s">
        <v>224</v>
      </c>
      <c r="I236" s="31">
        <v>45078.0</v>
      </c>
      <c r="J236" s="32"/>
      <c r="K236" s="33">
        <v>46174.0</v>
      </c>
      <c r="L236" s="30">
        <v>1.0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29" t="s">
        <v>737</v>
      </c>
      <c r="B237" s="30" t="s">
        <v>215</v>
      </c>
      <c r="C237" s="30" t="s">
        <v>738</v>
      </c>
      <c r="D237" s="30" t="s">
        <v>146</v>
      </c>
      <c r="E237" s="30" t="s">
        <v>21</v>
      </c>
      <c r="F237" s="30" t="s">
        <v>482</v>
      </c>
      <c r="G237" s="30" t="s">
        <v>29</v>
      </c>
      <c r="H237" s="30" t="s">
        <v>124</v>
      </c>
      <c r="I237" s="31">
        <v>43617.0</v>
      </c>
      <c r="J237" s="32"/>
      <c r="K237" s="33">
        <v>45809.0</v>
      </c>
      <c r="L237" s="30">
        <v>1.0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29" t="s">
        <v>739</v>
      </c>
      <c r="B238" s="30" t="s">
        <v>428</v>
      </c>
      <c r="C238" s="30" t="s">
        <v>466</v>
      </c>
      <c r="D238" s="30" t="s">
        <v>152</v>
      </c>
      <c r="E238" s="30" t="s">
        <v>21</v>
      </c>
      <c r="F238" s="30" t="s">
        <v>22</v>
      </c>
      <c r="G238" s="30" t="s">
        <v>85</v>
      </c>
      <c r="H238" s="30" t="s">
        <v>133</v>
      </c>
      <c r="I238" s="31">
        <v>44713.0</v>
      </c>
      <c r="J238" s="32"/>
      <c r="K238" s="33">
        <v>45809.0</v>
      </c>
      <c r="L238" s="30">
        <v>1.0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29" t="s">
        <v>740</v>
      </c>
      <c r="B239" s="30" t="s">
        <v>44</v>
      </c>
      <c r="C239" s="30" t="s">
        <v>741</v>
      </c>
      <c r="D239" s="30" t="s">
        <v>311</v>
      </c>
      <c r="E239" s="30" t="s">
        <v>21</v>
      </c>
      <c r="F239" s="30" t="s">
        <v>113</v>
      </c>
      <c r="G239" s="30" t="s">
        <v>79</v>
      </c>
      <c r="H239" s="30" t="s">
        <v>86</v>
      </c>
      <c r="I239" s="31">
        <v>44713.0</v>
      </c>
      <c r="J239" s="32"/>
      <c r="K239" s="33">
        <v>45809.0</v>
      </c>
      <c r="L239" s="30">
        <v>1.0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29" t="s">
        <v>742</v>
      </c>
      <c r="B240" s="30" t="s">
        <v>743</v>
      </c>
      <c r="C240" s="35"/>
      <c r="D240" s="30" t="s">
        <v>305</v>
      </c>
      <c r="E240" s="30" t="s">
        <v>585</v>
      </c>
      <c r="F240" s="30" t="s">
        <v>267</v>
      </c>
      <c r="G240" s="35"/>
      <c r="H240" s="30" t="s">
        <v>30</v>
      </c>
      <c r="I240" s="31">
        <v>36892.0</v>
      </c>
      <c r="J240" s="32"/>
      <c r="K240" s="33">
        <v>47635.0</v>
      </c>
      <c r="L240" s="30">
        <v>1.0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29" t="s">
        <v>744</v>
      </c>
      <c r="B241" s="30" t="s">
        <v>82</v>
      </c>
      <c r="C241" s="30" t="s">
        <v>745</v>
      </c>
      <c r="D241" s="30" t="s">
        <v>27</v>
      </c>
      <c r="E241" s="30" t="s">
        <v>21</v>
      </c>
      <c r="F241" s="30" t="s">
        <v>58</v>
      </c>
      <c r="G241" s="30">
        <v>2.0</v>
      </c>
      <c r="H241" s="30" t="s">
        <v>244</v>
      </c>
      <c r="I241" s="31">
        <v>45078.0</v>
      </c>
      <c r="J241" s="32"/>
      <c r="K241" s="33">
        <v>46174.0</v>
      </c>
      <c r="L241" s="30">
        <v>1.0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29" t="s">
        <v>746</v>
      </c>
      <c r="B242" s="30" t="s">
        <v>747</v>
      </c>
      <c r="C242" s="30" t="s">
        <v>748</v>
      </c>
      <c r="D242" s="30" t="s">
        <v>71</v>
      </c>
      <c r="E242" s="30" t="s">
        <v>21</v>
      </c>
      <c r="F242" s="30" t="s">
        <v>78</v>
      </c>
      <c r="G242" s="30" t="s">
        <v>79</v>
      </c>
      <c r="H242" s="30" t="s">
        <v>116</v>
      </c>
      <c r="I242" s="31">
        <v>44713.0</v>
      </c>
      <c r="J242" s="32"/>
      <c r="K242" s="33">
        <v>45809.0</v>
      </c>
      <c r="L242" s="30">
        <v>1.0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29" t="s">
        <v>749</v>
      </c>
      <c r="B243" s="30" t="s">
        <v>750</v>
      </c>
      <c r="C243" s="30" t="s">
        <v>61</v>
      </c>
      <c r="D243" s="30" t="s">
        <v>27</v>
      </c>
      <c r="E243" s="30" t="s">
        <v>21</v>
      </c>
      <c r="F243" s="30" t="s">
        <v>289</v>
      </c>
      <c r="G243" s="30" t="s">
        <v>79</v>
      </c>
      <c r="H243" s="30" t="s">
        <v>116</v>
      </c>
      <c r="I243" s="31">
        <v>44713.0</v>
      </c>
      <c r="J243" s="32"/>
      <c r="K243" s="33">
        <v>45809.0</v>
      </c>
      <c r="L243" s="30">
        <v>1.0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29" t="s">
        <v>751</v>
      </c>
      <c r="B244" s="30" t="s">
        <v>752</v>
      </c>
      <c r="C244" s="30" t="s">
        <v>753</v>
      </c>
      <c r="D244" s="30" t="s">
        <v>57</v>
      </c>
      <c r="E244" s="35"/>
      <c r="F244" s="30" t="s">
        <v>72</v>
      </c>
      <c r="G244" s="30" t="s">
        <v>29</v>
      </c>
      <c r="H244" s="30" t="s">
        <v>129</v>
      </c>
      <c r="I244" s="31">
        <v>45444.0</v>
      </c>
      <c r="J244" s="32"/>
      <c r="K244" s="33">
        <v>46539.0</v>
      </c>
      <c r="L244" s="30">
        <v>1.0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29" t="s">
        <v>754</v>
      </c>
      <c r="B245" s="30" t="s">
        <v>404</v>
      </c>
      <c r="C245" s="30" t="s">
        <v>755</v>
      </c>
      <c r="D245" s="30" t="s">
        <v>20</v>
      </c>
      <c r="E245" s="35"/>
      <c r="F245" s="30" t="s">
        <v>138</v>
      </c>
      <c r="G245" s="30" t="s">
        <v>35</v>
      </c>
      <c r="H245" s="30" t="s">
        <v>172</v>
      </c>
      <c r="I245" s="31">
        <v>45444.0</v>
      </c>
      <c r="J245" s="32"/>
      <c r="K245" s="33">
        <v>46539.0</v>
      </c>
      <c r="L245" s="30">
        <v>1.0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29" t="s">
        <v>756</v>
      </c>
      <c r="B246" s="30" t="s">
        <v>398</v>
      </c>
      <c r="C246" s="30" t="s">
        <v>757</v>
      </c>
      <c r="D246" s="30" t="s">
        <v>57</v>
      </c>
      <c r="E246" s="30" t="s">
        <v>21</v>
      </c>
      <c r="F246" s="30" t="s">
        <v>289</v>
      </c>
      <c r="G246" s="30" t="s">
        <v>85</v>
      </c>
      <c r="H246" s="30" t="s">
        <v>80</v>
      </c>
      <c r="I246" s="31">
        <v>44713.0</v>
      </c>
      <c r="J246" s="32"/>
      <c r="K246" s="33">
        <v>45809.0</v>
      </c>
      <c r="L246" s="30">
        <v>1.0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29" t="s">
        <v>758</v>
      </c>
      <c r="B247" s="30" t="s">
        <v>44</v>
      </c>
      <c r="C247" s="30" t="s">
        <v>759</v>
      </c>
      <c r="D247" s="30" t="s">
        <v>137</v>
      </c>
      <c r="E247" s="30" t="s">
        <v>21</v>
      </c>
      <c r="F247" s="30" t="s">
        <v>243</v>
      </c>
      <c r="G247" s="30">
        <v>3.0</v>
      </c>
      <c r="H247" s="30" t="s">
        <v>206</v>
      </c>
      <c r="I247" s="31">
        <v>45078.0</v>
      </c>
      <c r="J247" s="32"/>
      <c r="K247" s="33">
        <v>46174.0</v>
      </c>
      <c r="L247" s="30">
        <v>1.0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29" t="s">
        <v>760</v>
      </c>
      <c r="B248" s="30" t="s">
        <v>602</v>
      </c>
      <c r="C248" s="30" t="s">
        <v>761</v>
      </c>
      <c r="D248" s="30" t="s">
        <v>57</v>
      </c>
      <c r="E248" s="30" t="s">
        <v>21</v>
      </c>
      <c r="F248" s="30" t="s">
        <v>267</v>
      </c>
      <c r="G248" s="35"/>
      <c r="H248" s="30" t="s">
        <v>30</v>
      </c>
      <c r="I248" s="31">
        <v>36892.0</v>
      </c>
      <c r="J248" s="32"/>
      <c r="K248" s="33">
        <v>47635.0</v>
      </c>
      <c r="L248" s="30">
        <v>1.0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29" t="s">
        <v>762</v>
      </c>
      <c r="B249" s="30" t="s">
        <v>763</v>
      </c>
      <c r="C249" s="30" t="s">
        <v>764</v>
      </c>
      <c r="D249" s="30" t="s">
        <v>20</v>
      </c>
      <c r="E249" s="35"/>
      <c r="F249" s="30" t="s">
        <v>157</v>
      </c>
      <c r="G249" s="30" t="s">
        <v>35</v>
      </c>
      <c r="H249" s="30" t="s">
        <v>172</v>
      </c>
      <c r="I249" s="31">
        <v>45444.0</v>
      </c>
      <c r="J249" s="32"/>
      <c r="K249" s="33">
        <v>46539.0</v>
      </c>
      <c r="L249" s="30">
        <v>1.0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29" t="s">
        <v>762</v>
      </c>
      <c r="B250" s="30" t="s">
        <v>765</v>
      </c>
      <c r="C250" s="30" t="s">
        <v>766</v>
      </c>
      <c r="D250" s="30" t="s">
        <v>185</v>
      </c>
      <c r="E250" s="35"/>
      <c r="F250" s="30" t="s">
        <v>72</v>
      </c>
      <c r="G250" s="30" t="s">
        <v>35</v>
      </c>
      <c r="H250" s="30" t="s">
        <v>129</v>
      </c>
      <c r="I250" s="31">
        <v>45444.0</v>
      </c>
      <c r="J250" s="32"/>
      <c r="K250" s="33">
        <v>46539.0</v>
      </c>
      <c r="L250" s="30">
        <v>1.0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29" t="s">
        <v>762</v>
      </c>
      <c r="B251" s="30" t="s">
        <v>628</v>
      </c>
      <c r="C251" s="35"/>
      <c r="D251" s="35"/>
      <c r="E251" s="30" t="s">
        <v>21</v>
      </c>
      <c r="F251" s="35"/>
      <c r="G251" s="35"/>
      <c r="H251" s="30" t="s">
        <v>188</v>
      </c>
      <c r="I251" s="31">
        <v>44348.0</v>
      </c>
      <c r="J251" s="32"/>
      <c r="K251" s="33">
        <v>46539.0</v>
      </c>
      <c r="L251" s="30">
        <v>1.0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29" t="s">
        <v>671</v>
      </c>
      <c r="B252" s="30" t="s">
        <v>661</v>
      </c>
      <c r="C252" s="30" t="s">
        <v>767</v>
      </c>
      <c r="D252" s="30" t="s">
        <v>192</v>
      </c>
      <c r="E252" s="30" t="s">
        <v>21</v>
      </c>
      <c r="F252" s="30" t="s">
        <v>580</v>
      </c>
      <c r="G252" s="30" t="s">
        <v>85</v>
      </c>
      <c r="H252" s="30" t="s">
        <v>98</v>
      </c>
      <c r="I252" s="31">
        <v>44713.0</v>
      </c>
      <c r="J252" s="32"/>
      <c r="K252" s="33">
        <v>45809.0</v>
      </c>
      <c r="L252" s="30">
        <v>1.0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29" t="s">
        <v>671</v>
      </c>
      <c r="B253" s="30" t="s">
        <v>141</v>
      </c>
      <c r="C253" s="30" t="s">
        <v>768</v>
      </c>
      <c r="D253" s="30" t="s">
        <v>84</v>
      </c>
      <c r="E253" s="30" t="s">
        <v>21</v>
      </c>
      <c r="F253" s="30" t="s">
        <v>40</v>
      </c>
      <c r="G253" s="30" t="s">
        <v>41</v>
      </c>
      <c r="H253" s="30" t="s">
        <v>86</v>
      </c>
      <c r="I253" s="31">
        <v>44713.0</v>
      </c>
      <c r="J253" s="32"/>
      <c r="K253" s="33">
        <v>45809.0</v>
      </c>
      <c r="L253" s="30">
        <v>1.0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29" t="s">
        <v>769</v>
      </c>
      <c r="B254" s="30" t="s">
        <v>281</v>
      </c>
      <c r="C254" s="30" t="s">
        <v>675</v>
      </c>
      <c r="D254" s="30" t="s">
        <v>163</v>
      </c>
      <c r="E254" s="30" t="s">
        <v>21</v>
      </c>
      <c r="F254" s="30" t="s">
        <v>770</v>
      </c>
      <c r="G254" s="30">
        <v>4.0</v>
      </c>
      <c r="H254" s="30" t="s">
        <v>48</v>
      </c>
      <c r="I254" s="31">
        <v>45078.0</v>
      </c>
      <c r="J254" s="31">
        <v>46174.0</v>
      </c>
      <c r="K254" s="33">
        <v>47270.0</v>
      </c>
      <c r="L254" s="30">
        <v>2.0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29" t="s">
        <v>771</v>
      </c>
      <c r="B255" s="30" t="s">
        <v>772</v>
      </c>
      <c r="C255" s="30" t="s">
        <v>773</v>
      </c>
      <c r="D255" s="30" t="s">
        <v>71</v>
      </c>
      <c r="E255" s="35"/>
      <c r="F255" s="30" t="s">
        <v>66</v>
      </c>
      <c r="G255" s="30" t="s">
        <v>29</v>
      </c>
      <c r="H255" s="30" t="s">
        <v>73</v>
      </c>
      <c r="I255" s="31">
        <v>45444.0</v>
      </c>
      <c r="J255" s="32"/>
      <c r="K255" s="33">
        <v>46539.0</v>
      </c>
      <c r="L255" s="30">
        <v>1.0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29" t="s">
        <v>774</v>
      </c>
      <c r="B256" s="30" t="s">
        <v>414</v>
      </c>
      <c r="C256" s="30" t="s">
        <v>775</v>
      </c>
      <c r="D256" s="30" t="s">
        <v>163</v>
      </c>
      <c r="E256" s="30" t="s">
        <v>21</v>
      </c>
      <c r="F256" s="30" t="s">
        <v>58</v>
      </c>
      <c r="G256" s="30">
        <v>2.0</v>
      </c>
      <c r="H256" s="30" t="s">
        <v>224</v>
      </c>
      <c r="I256" s="31">
        <v>45078.0</v>
      </c>
      <c r="J256" s="32"/>
      <c r="K256" s="33">
        <v>46174.0</v>
      </c>
      <c r="L256" s="30">
        <v>1.0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29" t="s">
        <v>776</v>
      </c>
      <c r="B257" s="30" t="s">
        <v>777</v>
      </c>
      <c r="C257" s="35"/>
      <c r="D257" s="35"/>
      <c r="E257" s="35"/>
      <c r="F257" s="30" t="s">
        <v>676</v>
      </c>
      <c r="G257" s="35"/>
      <c r="H257" s="35"/>
      <c r="I257" s="31">
        <v>44348.0</v>
      </c>
      <c r="J257" s="32"/>
      <c r="K257" s="33">
        <v>46539.0</v>
      </c>
      <c r="L257" s="30">
        <v>1.0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29" t="s">
        <v>778</v>
      </c>
      <c r="B258" s="30" t="s">
        <v>779</v>
      </c>
      <c r="C258" s="35"/>
      <c r="D258" s="30" t="s">
        <v>65</v>
      </c>
      <c r="E258" s="30" t="s">
        <v>21</v>
      </c>
      <c r="F258" s="30" t="s">
        <v>34</v>
      </c>
      <c r="G258" s="30" t="s">
        <v>91</v>
      </c>
      <c r="H258" s="30" t="s">
        <v>36</v>
      </c>
      <c r="I258" s="31">
        <v>45444.0</v>
      </c>
      <c r="J258" s="32"/>
      <c r="K258" s="33">
        <v>46539.0</v>
      </c>
      <c r="L258" s="30">
        <v>1.0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29" t="s">
        <v>780</v>
      </c>
      <c r="B259" s="30" t="s">
        <v>141</v>
      </c>
      <c r="C259" s="30" t="s">
        <v>781</v>
      </c>
      <c r="D259" s="30" t="s">
        <v>57</v>
      </c>
      <c r="E259" s="30" t="s">
        <v>21</v>
      </c>
      <c r="F259" s="30" t="s">
        <v>113</v>
      </c>
      <c r="G259" s="30" t="s">
        <v>79</v>
      </c>
      <c r="H259" s="30" t="s">
        <v>80</v>
      </c>
      <c r="I259" s="31">
        <v>44713.0</v>
      </c>
      <c r="J259" s="32"/>
      <c r="K259" s="33">
        <v>45809.0</v>
      </c>
      <c r="L259" s="30">
        <v>1.0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29" t="s">
        <v>782</v>
      </c>
      <c r="B260" s="30" t="s">
        <v>783</v>
      </c>
      <c r="C260" s="30" t="s">
        <v>418</v>
      </c>
      <c r="D260" s="30" t="s">
        <v>27</v>
      </c>
      <c r="E260" s="35"/>
      <c r="F260" s="30" t="s">
        <v>66</v>
      </c>
      <c r="G260" s="30" t="s">
        <v>91</v>
      </c>
      <c r="H260" s="30" t="s">
        <v>103</v>
      </c>
      <c r="I260" s="31">
        <v>45444.0</v>
      </c>
      <c r="J260" s="32"/>
      <c r="K260" s="33">
        <v>46539.0</v>
      </c>
      <c r="L260" s="30">
        <v>1.0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29" t="s">
        <v>784</v>
      </c>
      <c r="B261" s="30" t="s">
        <v>25</v>
      </c>
      <c r="C261" s="30" t="s">
        <v>785</v>
      </c>
      <c r="D261" s="30" t="s">
        <v>266</v>
      </c>
      <c r="E261" s="30" t="s">
        <v>21</v>
      </c>
      <c r="F261" s="30" t="s">
        <v>153</v>
      </c>
      <c r="G261" s="30" t="s">
        <v>29</v>
      </c>
      <c r="H261" s="30" t="s">
        <v>139</v>
      </c>
      <c r="I261" s="31">
        <v>45444.0</v>
      </c>
      <c r="J261" s="32"/>
      <c r="K261" s="33">
        <v>46539.0</v>
      </c>
      <c r="L261" s="30">
        <v>1.0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29" t="s">
        <v>786</v>
      </c>
      <c r="B262" s="30" t="s">
        <v>787</v>
      </c>
      <c r="C262" s="30" t="s">
        <v>788</v>
      </c>
      <c r="D262" s="35"/>
      <c r="E262" s="30" t="s">
        <v>304</v>
      </c>
      <c r="F262" s="30" t="s">
        <v>138</v>
      </c>
      <c r="G262" s="30" t="s">
        <v>29</v>
      </c>
      <c r="H262" s="30" t="s">
        <v>73</v>
      </c>
      <c r="I262" s="31">
        <v>45444.0</v>
      </c>
      <c r="J262" s="32"/>
      <c r="K262" s="33">
        <v>46539.0</v>
      </c>
      <c r="L262" s="30">
        <v>1.0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29" t="s">
        <v>786</v>
      </c>
      <c r="B263" s="30" t="s">
        <v>156</v>
      </c>
      <c r="C263" s="30" t="s">
        <v>789</v>
      </c>
      <c r="D263" s="30" t="s">
        <v>27</v>
      </c>
      <c r="E263" s="35"/>
      <c r="F263" s="30" t="s">
        <v>66</v>
      </c>
      <c r="G263" s="30" t="s">
        <v>35</v>
      </c>
      <c r="H263" s="30" t="s">
        <v>172</v>
      </c>
      <c r="I263" s="31">
        <v>45444.0</v>
      </c>
      <c r="J263" s="32"/>
      <c r="K263" s="33">
        <v>46539.0</v>
      </c>
      <c r="L263" s="30">
        <v>1.0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29" t="s">
        <v>790</v>
      </c>
      <c r="B264" s="30" t="s">
        <v>791</v>
      </c>
      <c r="C264" s="30" t="s">
        <v>792</v>
      </c>
      <c r="D264" s="30" t="s">
        <v>137</v>
      </c>
      <c r="E264" s="30" t="s">
        <v>21</v>
      </c>
      <c r="F264" s="30" t="s">
        <v>58</v>
      </c>
      <c r="G264" s="30">
        <v>1.0</v>
      </c>
      <c r="H264" s="30" t="s">
        <v>357</v>
      </c>
      <c r="I264" s="31">
        <v>45078.0</v>
      </c>
      <c r="J264" s="32"/>
      <c r="K264" s="33">
        <v>46174.0</v>
      </c>
      <c r="L264" s="30">
        <v>1.0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29" t="s">
        <v>793</v>
      </c>
      <c r="B265" s="30" t="s">
        <v>794</v>
      </c>
      <c r="C265" s="30" t="s">
        <v>761</v>
      </c>
      <c r="D265" s="30" t="s">
        <v>57</v>
      </c>
      <c r="E265" s="30" t="s">
        <v>21</v>
      </c>
      <c r="F265" s="30" t="s">
        <v>267</v>
      </c>
      <c r="G265" s="35"/>
      <c r="H265" s="30" t="s">
        <v>30</v>
      </c>
      <c r="I265" s="31">
        <v>36892.0</v>
      </c>
      <c r="J265" s="32"/>
      <c r="K265" s="33">
        <v>47635.0</v>
      </c>
      <c r="L265" s="30">
        <v>1.0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29" t="s">
        <v>795</v>
      </c>
      <c r="B266" s="30" t="s">
        <v>796</v>
      </c>
      <c r="C266" s="30" t="s">
        <v>797</v>
      </c>
      <c r="D266" s="30" t="s">
        <v>71</v>
      </c>
      <c r="E266" s="30" t="s">
        <v>21</v>
      </c>
      <c r="F266" s="30" t="s">
        <v>113</v>
      </c>
      <c r="G266" s="30" t="s">
        <v>85</v>
      </c>
      <c r="H266" s="30" t="s">
        <v>116</v>
      </c>
      <c r="I266" s="31">
        <v>44713.0</v>
      </c>
      <c r="J266" s="32"/>
      <c r="K266" s="33">
        <v>45809.0</v>
      </c>
      <c r="L266" s="30">
        <v>1.0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29" t="s">
        <v>795</v>
      </c>
      <c r="B267" s="30" t="s">
        <v>296</v>
      </c>
      <c r="C267" s="30" t="s">
        <v>798</v>
      </c>
      <c r="D267" s="30" t="s">
        <v>275</v>
      </c>
      <c r="E267" s="30" t="s">
        <v>21</v>
      </c>
      <c r="F267" s="30" t="s">
        <v>78</v>
      </c>
      <c r="G267" s="30" t="s">
        <v>41</v>
      </c>
      <c r="H267" s="30" t="s">
        <v>290</v>
      </c>
      <c r="I267" s="31">
        <v>44713.0</v>
      </c>
      <c r="J267" s="32"/>
      <c r="K267" s="33">
        <v>45809.0</v>
      </c>
      <c r="L267" s="30">
        <v>1.0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29" t="s">
        <v>799</v>
      </c>
      <c r="B268" s="30" t="s">
        <v>697</v>
      </c>
      <c r="C268" s="30" t="s">
        <v>800</v>
      </c>
      <c r="D268" s="30" t="s">
        <v>801</v>
      </c>
      <c r="E268" s="30" t="s">
        <v>21</v>
      </c>
      <c r="F268" s="30" t="s">
        <v>47</v>
      </c>
      <c r="G268" s="30">
        <v>1.0</v>
      </c>
      <c r="H268" s="30" t="s">
        <v>271</v>
      </c>
      <c r="I268" s="31">
        <v>45078.0</v>
      </c>
      <c r="J268" s="32"/>
      <c r="K268" s="33">
        <v>46174.0</v>
      </c>
      <c r="L268" s="30">
        <v>1.0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29" t="s">
        <v>802</v>
      </c>
      <c r="B269" s="30" t="s">
        <v>803</v>
      </c>
      <c r="C269" s="30" t="s">
        <v>804</v>
      </c>
      <c r="D269" s="30" t="s">
        <v>20</v>
      </c>
      <c r="E269" s="30" t="s">
        <v>21</v>
      </c>
      <c r="F269" s="30" t="s">
        <v>530</v>
      </c>
      <c r="G269" s="30" t="s">
        <v>97</v>
      </c>
      <c r="H269" s="30" t="s">
        <v>98</v>
      </c>
      <c r="I269" s="31">
        <v>44713.0</v>
      </c>
      <c r="J269" s="31">
        <v>45809.0</v>
      </c>
      <c r="K269" s="33">
        <v>47270.0</v>
      </c>
      <c r="L269" s="30">
        <v>2.0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29" t="s">
        <v>805</v>
      </c>
      <c r="B270" s="30" t="s">
        <v>309</v>
      </c>
      <c r="C270" s="30" t="s">
        <v>806</v>
      </c>
      <c r="D270" s="30" t="s">
        <v>137</v>
      </c>
      <c r="E270" s="30" t="s">
        <v>21</v>
      </c>
      <c r="F270" s="30" t="s">
        <v>58</v>
      </c>
      <c r="G270" s="30">
        <v>1.0</v>
      </c>
      <c r="H270" s="30" t="s">
        <v>357</v>
      </c>
      <c r="I270" s="31">
        <v>45078.0</v>
      </c>
      <c r="J270" s="32"/>
      <c r="K270" s="33">
        <v>46174.0</v>
      </c>
      <c r="L270" s="30">
        <v>1.0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29" t="s">
        <v>807</v>
      </c>
      <c r="B271" s="30" t="s">
        <v>808</v>
      </c>
      <c r="C271" s="30" t="s">
        <v>809</v>
      </c>
      <c r="D271" s="30" t="s">
        <v>65</v>
      </c>
      <c r="E271" s="35"/>
      <c r="F271" s="30" t="s">
        <v>72</v>
      </c>
      <c r="G271" s="30" t="s">
        <v>35</v>
      </c>
      <c r="H271" s="30" t="s">
        <v>67</v>
      </c>
      <c r="I271" s="31">
        <v>45444.0</v>
      </c>
      <c r="J271" s="32"/>
      <c r="K271" s="33">
        <v>46539.0</v>
      </c>
      <c r="L271" s="30">
        <v>1.0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29" t="s">
        <v>810</v>
      </c>
      <c r="B272" s="30" t="s">
        <v>82</v>
      </c>
      <c r="C272" s="30" t="s">
        <v>811</v>
      </c>
      <c r="D272" s="30" t="s">
        <v>27</v>
      </c>
      <c r="E272" s="30" t="s">
        <v>21</v>
      </c>
      <c r="F272" s="30" t="s">
        <v>253</v>
      </c>
      <c r="G272" s="34">
        <v>45355.0</v>
      </c>
      <c r="H272" s="30" t="s">
        <v>48</v>
      </c>
      <c r="I272" s="31">
        <v>45078.0</v>
      </c>
      <c r="J272" s="32"/>
      <c r="K272" s="33">
        <v>46174.0</v>
      </c>
      <c r="L272" s="30">
        <v>1.0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29" t="s">
        <v>812</v>
      </c>
      <c r="B273" s="30" t="s">
        <v>813</v>
      </c>
      <c r="C273" s="35"/>
      <c r="D273" s="35"/>
      <c r="E273" s="35"/>
      <c r="F273" s="30" t="s">
        <v>213</v>
      </c>
      <c r="G273" s="30" t="s">
        <v>457</v>
      </c>
      <c r="H273" s="30" t="s">
        <v>36</v>
      </c>
      <c r="I273" s="31">
        <v>45444.0</v>
      </c>
      <c r="J273" s="32"/>
      <c r="K273" s="33">
        <v>46539.0</v>
      </c>
      <c r="L273" s="30">
        <v>1.0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29" t="s">
        <v>814</v>
      </c>
      <c r="B274" s="30" t="s">
        <v>815</v>
      </c>
      <c r="C274" s="30" t="s">
        <v>816</v>
      </c>
      <c r="D274" s="30" t="s">
        <v>90</v>
      </c>
      <c r="E274" s="35"/>
      <c r="F274" s="30" t="s">
        <v>66</v>
      </c>
      <c r="G274" s="30" t="s">
        <v>91</v>
      </c>
      <c r="H274" s="30" t="s">
        <v>148</v>
      </c>
      <c r="I274" s="31">
        <v>45444.0</v>
      </c>
      <c r="J274" s="32"/>
      <c r="K274" s="33">
        <v>46539.0</v>
      </c>
      <c r="L274" s="30">
        <v>1.0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29" t="s">
        <v>817</v>
      </c>
      <c r="B275" s="30" t="s">
        <v>141</v>
      </c>
      <c r="C275" s="30" t="s">
        <v>341</v>
      </c>
      <c r="D275" s="30" t="s">
        <v>65</v>
      </c>
      <c r="E275" s="30" t="s">
        <v>21</v>
      </c>
      <c r="F275" s="30" t="s">
        <v>47</v>
      </c>
      <c r="G275" s="30">
        <v>3.0</v>
      </c>
      <c r="H275" s="30" t="s">
        <v>271</v>
      </c>
      <c r="I275" s="31">
        <v>45078.0</v>
      </c>
      <c r="J275" s="32"/>
      <c r="K275" s="33">
        <v>46174.0</v>
      </c>
      <c r="L275" s="30">
        <v>1.0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29" t="s">
        <v>818</v>
      </c>
      <c r="B276" s="30" t="s">
        <v>819</v>
      </c>
      <c r="C276" s="30" t="s">
        <v>205</v>
      </c>
      <c r="D276" s="30" t="s">
        <v>137</v>
      </c>
      <c r="E276" s="30" t="s">
        <v>21</v>
      </c>
      <c r="F276" s="30" t="s">
        <v>47</v>
      </c>
      <c r="G276" s="30">
        <v>3.0</v>
      </c>
      <c r="H276" s="30" t="s">
        <v>357</v>
      </c>
      <c r="I276" s="31">
        <v>45078.0</v>
      </c>
      <c r="J276" s="32"/>
      <c r="K276" s="33">
        <v>46174.0</v>
      </c>
      <c r="L276" s="30">
        <v>1.0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29" t="s">
        <v>820</v>
      </c>
      <c r="B277" s="30" t="s">
        <v>821</v>
      </c>
      <c r="C277" s="35"/>
      <c r="D277" s="35"/>
      <c r="E277" s="35"/>
      <c r="F277" s="30" t="s">
        <v>822</v>
      </c>
      <c r="G277" s="30" t="s">
        <v>29</v>
      </c>
      <c r="H277" s="30" t="s">
        <v>36</v>
      </c>
      <c r="I277" s="31">
        <v>45444.0</v>
      </c>
      <c r="J277" s="32"/>
      <c r="K277" s="33">
        <v>46539.0</v>
      </c>
      <c r="L277" s="30">
        <v>1.0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29" t="s">
        <v>823</v>
      </c>
      <c r="B278" s="30" t="s">
        <v>229</v>
      </c>
      <c r="C278" s="30" t="s">
        <v>824</v>
      </c>
      <c r="D278" s="30" t="s">
        <v>185</v>
      </c>
      <c r="E278" s="30" t="s">
        <v>21</v>
      </c>
      <c r="F278" s="30" t="s">
        <v>695</v>
      </c>
      <c r="G278" s="30" t="s">
        <v>91</v>
      </c>
      <c r="H278" s="30" t="s">
        <v>30</v>
      </c>
      <c r="I278" s="31">
        <v>40695.0</v>
      </c>
      <c r="J278" s="32"/>
      <c r="K278" s="33">
        <v>47635.0</v>
      </c>
      <c r="L278" s="30">
        <v>1.0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29" t="s">
        <v>825</v>
      </c>
      <c r="B279" s="30" t="s">
        <v>826</v>
      </c>
      <c r="C279" s="30" t="s">
        <v>827</v>
      </c>
      <c r="D279" s="30" t="s">
        <v>137</v>
      </c>
      <c r="E279" s="35"/>
      <c r="F279" s="30" t="s">
        <v>138</v>
      </c>
      <c r="G279" s="30" t="s">
        <v>35</v>
      </c>
      <c r="H279" s="30" t="s">
        <v>73</v>
      </c>
      <c r="I279" s="31">
        <v>45444.0</v>
      </c>
      <c r="J279" s="32"/>
      <c r="K279" s="33">
        <v>46539.0</v>
      </c>
      <c r="L279" s="30">
        <v>1.0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29" t="s">
        <v>828</v>
      </c>
      <c r="B280" s="30" t="s">
        <v>829</v>
      </c>
      <c r="C280" s="30" t="s">
        <v>830</v>
      </c>
      <c r="D280" s="30" t="s">
        <v>137</v>
      </c>
      <c r="E280" s="30" t="s">
        <v>21</v>
      </c>
      <c r="F280" s="30" t="s">
        <v>78</v>
      </c>
      <c r="G280" s="30" t="s">
        <v>85</v>
      </c>
      <c r="H280" s="30" t="s">
        <v>285</v>
      </c>
      <c r="I280" s="31">
        <v>44713.0</v>
      </c>
      <c r="J280" s="32"/>
      <c r="K280" s="33">
        <v>45809.0</v>
      </c>
      <c r="L280" s="30">
        <v>1.0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29" t="s">
        <v>831</v>
      </c>
      <c r="B281" s="30" t="s">
        <v>832</v>
      </c>
      <c r="C281" s="30" t="s">
        <v>833</v>
      </c>
      <c r="D281" s="30" t="s">
        <v>102</v>
      </c>
      <c r="E281" s="30" t="s">
        <v>21</v>
      </c>
      <c r="F281" s="30" t="s">
        <v>834</v>
      </c>
      <c r="G281" s="30" t="s">
        <v>35</v>
      </c>
      <c r="H281" s="30" t="s">
        <v>30</v>
      </c>
      <c r="I281" s="31">
        <v>36892.0</v>
      </c>
      <c r="J281" s="32"/>
      <c r="K281" s="33">
        <v>47635.0</v>
      </c>
      <c r="L281" s="30">
        <v>1.0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29" t="s">
        <v>835</v>
      </c>
      <c r="B282" s="30" t="s">
        <v>836</v>
      </c>
      <c r="C282" s="30" t="s">
        <v>837</v>
      </c>
      <c r="D282" s="30" t="s">
        <v>163</v>
      </c>
      <c r="E282" s="30" t="s">
        <v>21</v>
      </c>
      <c r="F282" s="30" t="s">
        <v>58</v>
      </c>
      <c r="G282" s="30">
        <v>3.0</v>
      </c>
      <c r="H282" s="30" t="s">
        <v>202</v>
      </c>
      <c r="I282" s="31">
        <v>45078.0</v>
      </c>
      <c r="J282" s="32"/>
      <c r="K282" s="33">
        <v>46174.0</v>
      </c>
      <c r="L282" s="30">
        <v>1.0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29" t="s">
        <v>838</v>
      </c>
      <c r="B283" s="30" t="s">
        <v>839</v>
      </c>
      <c r="C283" s="30" t="s">
        <v>840</v>
      </c>
      <c r="D283" s="30" t="s">
        <v>84</v>
      </c>
      <c r="E283" s="30" t="s">
        <v>21</v>
      </c>
      <c r="F283" s="30" t="s">
        <v>138</v>
      </c>
      <c r="G283" s="30" t="s">
        <v>29</v>
      </c>
      <c r="H283" s="30" t="s">
        <v>164</v>
      </c>
      <c r="I283" s="31">
        <v>45444.0</v>
      </c>
      <c r="J283" s="32"/>
      <c r="K283" s="33">
        <v>46539.0</v>
      </c>
      <c r="L283" s="30">
        <v>1.0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29" t="s">
        <v>841</v>
      </c>
      <c r="B284" s="30" t="s">
        <v>842</v>
      </c>
      <c r="C284" s="30" t="s">
        <v>843</v>
      </c>
      <c r="D284" s="30" t="s">
        <v>46</v>
      </c>
      <c r="E284" s="30" t="s">
        <v>21</v>
      </c>
      <c r="F284" s="30" t="s">
        <v>844</v>
      </c>
      <c r="G284" s="30" t="s">
        <v>29</v>
      </c>
      <c r="H284" s="30" t="s">
        <v>36</v>
      </c>
      <c r="I284" s="31">
        <v>44713.0</v>
      </c>
      <c r="J284" s="31">
        <v>46539.0</v>
      </c>
      <c r="K284" s="33">
        <v>47635.0</v>
      </c>
      <c r="L284" s="30">
        <v>2.0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29" t="s">
        <v>845</v>
      </c>
      <c r="B285" s="30" t="s">
        <v>846</v>
      </c>
      <c r="C285" s="30" t="s">
        <v>847</v>
      </c>
      <c r="D285" s="30" t="s">
        <v>20</v>
      </c>
      <c r="E285" s="35"/>
      <c r="F285" s="30" t="s">
        <v>157</v>
      </c>
      <c r="G285" s="30" t="s">
        <v>35</v>
      </c>
      <c r="H285" s="30" t="s">
        <v>154</v>
      </c>
      <c r="I285" s="31">
        <v>45444.0</v>
      </c>
      <c r="J285" s="32"/>
      <c r="K285" s="33">
        <v>46539.0</v>
      </c>
      <c r="L285" s="30">
        <v>1.0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29" t="s">
        <v>848</v>
      </c>
      <c r="B286" s="30" t="s">
        <v>849</v>
      </c>
      <c r="C286" s="30" t="s">
        <v>850</v>
      </c>
      <c r="D286" s="30" t="s">
        <v>851</v>
      </c>
      <c r="E286" s="30" t="s">
        <v>21</v>
      </c>
      <c r="F286" s="30" t="s">
        <v>178</v>
      </c>
      <c r="G286" s="30" t="s">
        <v>29</v>
      </c>
      <c r="H286" s="30" t="s">
        <v>36</v>
      </c>
      <c r="I286" s="31">
        <v>45078.0</v>
      </c>
      <c r="J286" s="31">
        <v>46539.0</v>
      </c>
      <c r="K286" s="33">
        <v>47635.0</v>
      </c>
      <c r="L286" s="30">
        <v>2.0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29" t="s">
        <v>852</v>
      </c>
      <c r="B287" s="30" t="s">
        <v>340</v>
      </c>
      <c r="C287" s="30" t="s">
        <v>853</v>
      </c>
      <c r="D287" s="30" t="s">
        <v>234</v>
      </c>
      <c r="E287" s="30" t="s">
        <v>21</v>
      </c>
      <c r="F287" s="30" t="s">
        <v>201</v>
      </c>
      <c r="G287" s="30">
        <v>3.0</v>
      </c>
      <c r="H287" s="30" t="s">
        <v>244</v>
      </c>
      <c r="I287" s="31">
        <v>45078.0</v>
      </c>
      <c r="J287" s="32"/>
      <c r="K287" s="33">
        <v>46174.0</v>
      </c>
      <c r="L287" s="30">
        <v>1.0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29" t="s">
        <v>854</v>
      </c>
      <c r="B288" s="30" t="s">
        <v>855</v>
      </c>
      <c r="C288" s="30" t="s">
        <v>233</v>
      </c>
      <c r="D288" s="30" t="s">
        <v>84</v>
      </c>
      <c r="E288" s="30" t="s">
        <v>21</v>
      </c>
      <c r="F288" s="30" t="s">
        <v>40</v>
      </c>
      <c r="G288" s="30" t="s">
        <v>41</v>
      </c>
      <c r="H288" s="30" t="s">
        <v>86</v>
      </c>
      <c r="I288" s="31">
        <v>44713.0</v>
      </c>
      <c r="J288" s="32"/>
      <c r="K288" s="33">
        <v>45809.0</v>
      </c>
      <c r="L288" s="30">
        <v>1.0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29" t="s">
        <v>856</v>
      </c>
      <c r="B289" s="30" t="s">
        <v>857</v>
      </c>
      <c r="C289" s="30" t="s">
        <v>858</v>
      </c>
      <c r="D289" s="30" t="s">
        <v>185</v>
      </c>
      <c r="E289" s="35"/>
      <c r="F289" s="30" t="s">
        <v>147</v>
      </c>
      <c r="G289" s="30" t="s">
        <v>91</v>
      </c>
      <c r="H289" s="30" t="s">
        <v>129</v>
      </c>
      <c r="I289" s="31">
        <v>45444.0</v>
      </c>
      <c r="J289" s="32"/>
      <c r="K289" s="33">
        <v>46539.0</v>
      </c>
      <c r="L289" s="30">
        <v>1.0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29" t="s">
        <v>859</v>
      </c>
      <c r="B290" s="30" t="s">
        <v>750</v>
      </c>
      <c r="C290" s="30" t="s">
        <v>860</v>
      </c>
      <c r="D290" s="30" t="s">
        <v>163</v>
      </c>
      <c r="E290" s="30" t="s">
        <v>21</v>
      </c>
      <c r="F290" s="30" t="s">
        <v>78</v>
      </c>
      <c r="G290" s="30" t="s">
        <v>85</v>
      </c>
      <c r="H290" s="30" t="s">
        <v>290</v>
      </c>
      <c r="I290" s="31">
        <v>44713.0</v>
      </c>
      <c r="J290" s="32"/>
      <c r="K290" s="33">
        <v>45809.0</v>
      </c>
      <c r="L290" s="30">
        <v>1.0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29" t="s">
        <v>861</v>
      </c>
      <c r="B291" s="30" t="s">
        <v>862</v>
      </c>
      <c r="C291" s="30" t="s">
        <v>863</v>
      </c>
      <c r="D291" s="30" t="s">
        <v>152</v>
      </c>
      <c r="E291" s="30" t="s">
        <v>21</v>
      </c>
      <c r="F291" s="30" t="s">
        <v>147</v>
      </c>
      <c r="G291" s="30" t="s">
        <v>35</v>
      </c>
      <c r="H291" s="30" t="s">
        <v>30</v>
      </c>
      <c r="I291" s="31">
        <v>42765.0</v>
      </c>
      <c r="J291" s="32"/>
      <c r="K291" s="33">
        <v>47635.0</v>
      </c>
      <c r="L291" s="30">
        <v>1.0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29" t="s">
        <v>864</v>
      </c>
      <c r="B292" s="30" t="s">
        <v>865</v>
      </c>
      <c r="C292" s="35"/>
      <c r="D292" s="35"/>
      <c r="E292" s="35"/>
      <c r="F292" s="30" t="s">
        <v>676</v>
      </c>
      <c r="G292" s="35"/>
      <c r="H292" s="35"/>
      <c r="I292" s="31">
        <v>44348.0</v>
      </c>
      <c r="J292" s="32"/>
      <c r="K292" s="33">
        <v>46539.0</v>
      </c>
      <c r="L292" s="30">
        <v>1.0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29" t="s">
        <v>866</v>
      </c>
      <c r="B293" s="30" t="s">
        <v>714</v>
      </c>
      <c r="C293" s="30" t="s">
        <v>867</v>
      </c>
      <c r="D293" s="30" t="s">
        <v>102</v>
      </c>
      <c r="E293" s="30" t="s">
        <v>21</v>
      </c>
      <c r="F293" s="30" t="s">
        <v>347</v>
      </c>
      <c r="G293" s="30" t="s">
        <v>91</v>
      </c>
      <c r="H293" s="30" t="s">
        <v>124</v>
      </c>
      <c r="I293" s="31">
        <v>43617.0</v>
      </c>
      <c r="J293" s="32"/>
      <c r="K293" s="33">
        <v>45809.0</v>
      </c>
      <c r="L293" s="30">
        <v>1.0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29" t="s">
        <v>868</v>
      </c>
      <c r="B294" s="30" t="s">
        <v>869</v>
      </c>
      <c r="C294" s="30" t="s">
        <v>870</v>
      </c>
      <c r="D294" s="30" t="s">
        <v>275</v>
      </c>
      <c r="E294" s="30" t="s">
        <v>21</v>
      </c>
      <c r="F294" s="30" t="s">
        <v>482</v>
      </c>
      <c r="G294" s="30" t="s">
        <v>35</v>
      </c>
      <c r="H294" s="30" t="s">
        <v>124</v>
      </c>
      <c r="I294" s="31">
        <v>43617.0</v>
      </c>
      <c r="J294" s="32"/>
      <c r="K294" s="33">
        <v>45809.0</v>
      </c>
      <c r="L294" s="30">
        <v>1.0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29" t="s">
        <v>871</v>
      </c>
      <c r="B295" s="30" t="s">
        <v>82</v>
      </c>
      <c r="C295" s="30" t="s">
        <v>872</v>
      </c>
      <c r="D295" s="30" t="s">
        <v>102</v>
      </c>
      <c r="E295" s="30" t="s">
        <v>21</v>
      </c>
      <c r="F295" s="30" t="s">
        <v>243</v>
      </c>
      <c r="G295" s="30">
        <v>3.0</v>
      </c>
      <c r="H295" s="30" t="s">
        <v>48</v>
      </c>
      <c r="I295" s="31">
        <v>45078.0</v>
      </c>
      <c r="J295" s="32"/>
      <c r="K295" s="33">
        <v>46174.0</v>
      </c>
      <c r="L295" s="30">
        <v>1.0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29" t="s">
        <v>792</v>
      </c>
      <c r="B296" s="30" t="s">
        <v>82</v>
      </c>
      <c r="C296" s="30" t="s">
        <v>873</v>
      </c>
      <c r="D296" s="30" t="s">
        <v>46</v>
      </c>
      <c r="E296" s="30" t="s">
        <v>21</v>
      </c>
      <c r="F296" s="30" t="s">
        <v>58</v>
      </c>
      <c r="G296" s="30">
        <v>4.0</v>
      </c>
      <c r="H296" s="30" t="s">
        <v>48</v>
      </c>
      <c r="I296" s="31">
        <v>45078.0</v>
      </c>
      <c r="J296" s="32"/>
      <c r="K296" s="33">
        <v>46174.0</v>
      </c>
      <c r="L296" s="30">
        <v>1.0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29" t="s">
        <v>874</v>
      </c>
      <c r="B297" s="30" t="s">
        <v>875</v>
      </c>
      <c r="C297" s="30" t="s">
        <v>876</v>
      </c>
      <c r="D297" s="30" t="s">
        <v>163</v>
      </c>
      <c r="E297" s="35"/>
      <c r="F297" s="30" t="s">
        <v>147</v>
      </c>
      <c r="G297" s="30" t="s">
        <v>35</v>
      </c>
      <c r="H297" s="30" t="s">
        <v>67</v>
      </c>
      <c r="I297" s="31">
        <v>45444.0</v>
      </c>
      <c r="J297" s="32"/>
      <c r="K297" s="33">
        <v>46539.0</v>
      </c>
      <c r="L297" s="30">
        <v>1.0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29" t="s">
        <v>877</v>
      </c>
      <c r="B298" s="30" t="s">
        <v>878</v>
      </c>
      <c r="C298" s="30" t="s">
        <v>879</v>
      </c>
      <c r="D298" s="30" t="s">
        <v>57</v>
      </c>
      <c r="E298" s="30" t="s">
        <v>21</v>
      </c>
      <c r="F298" s="30" t="s">
        <v>113</v>
      </c>
      <c r="G298" s="30" t="s">
        <v>79</v>
      </c>
      <c r="H298" s="30" t="s">
        <v>80</v>
      </c>
      <c r="I298" s="31">
        <v>44713.0</v>
      </c>
      <c r="J298" s="32"/>
      <c r="K298" s="33">
        <v>45809.0</v>
      </c>
      <c r="L298" s="30">
        <v>1.0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29" t="s">
        <v>880</v>
      </c>
      <c r="B299" s="30" t="s">
        <v>398</v>
      </c>
      <c r="C299" s="30" t="s">
        <v>881</v>
      </c>
      <c r="D299" s="30" t="s">
        <v>329</v>
      </c>
      <c r="E299" s="30" t="s">
        <v>21</v>
      </c>
      <c r="F299" s="30" t="s">
        <v>78</v>
      </c>
      <c r="G299" s="30" t="s">
        <v>85</v>
      </c>
      <c r="H299" s="30" t="s">
        <v>249</v>
      </c>
      <c r="I299" s="31">
        <v>44713.0</v>
      </c>
      <c r="J299" s="32"/>
      <c r="K299" s="33">
        <v>45809.0</v>
      </c>
      <c r="L299" s="30">
        <v>1.0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29" t="s">
        <v>882</v>
      </c>
      <c r="B300" s="30" t="s">
        <v>239</v>
      </c>
      <c r="C300" s="30" t="s">
        <v>883</v>
      </c>
      <c r="D300" s="30" t="s">
        <v>137</v>
      </c>
      <c r="E300" s="30" t="s">
        <v>21</v>
      </c>
      <c r="F300" s="30" t="s">
        <v>22</v>
      </c>
      <c r="G300" s="30">
        <v>1.0</v>
      </c>
      <c r="H300" s="30" t="s">
        <v>357</v>
      </c>
      <c r="I300" s="31">
        <v>45078.0</v>
      </c>
      <c r="J300" s="32"/>
      <c r="K300" s="33">
        <v>46174.0</v>
      </c>
      <c r="L300" s="30">
        <v>1.0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29" t="s">
        <v>884</v>
      </c>
      <c r="B301" s="30" t="s">
        <v>885</v>
      </c>
      <c r="C301" s="30" t="s">
        <v>886</v>
      </c>
      <c r="D301" s="30" t="s">
        <v>851</v>
      </c>
      <c r="E301" s="30" t="s">
        <v>21</v>
      </c>
      <c r="F301" s="30" t="s">
        <v>289</v>
      </c>
      <c r="G301" s="30" t="s">
        <v>41</v>
      </c>
      <c r="H301" s="30" t="s">
        <v>133</v>
      </c>
      <c r="I301" s="31">
        <v>44713.0</v>
      </c>
      <c r="J301" s="32"/>
      <c r="K301" s="33">
        <v>45809.0</v>
      </c>
      <c r="L301" s="30">
        <v>1.0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29" t="s">
        <v>887</v>
      </c>
      <c r="B302" s="30" t="s">
        <v>382</v>
      </c>
      <c r="C302" s="30" t="s">
        <v>888</v>
      </c>
      <c r="D302" s="30" t="s">
        <v>163</v>
      </c>
      <c r="E302" s="30" t="s">
        <v>21</v>
      </c>
      <c r="F302" s="30" t="s">
        <v>530</v>
      </c>
      <c r="G302" s="30" t="s">
        <v>85</v>
      </c>
      <c r="H302" s="30" t="s">
        <v>98</v>
      </c>
      <c r="I302" s="31">
        <v>44713.0</v>
      </c>
      <c r="J302" s="31">
        <v>45809.0</v>
      </c>
      <c r="K302" s="33">
        <v>46905.0</v>
      </c>
      <c r="L302" s="30">
        <v>2.0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29" t="s">
        <v>889</v>
      </c>
      <c r="B303" s="30" t="s">
        <v>494</v>
      </c>
      <c r="C303" s="30" t="s">
        <v>890</v>
      </c>
      <c r="D303" s="30" t="s">
        <v>102</v>
      </c>
      <c r="E303" s="30" t="s">
        <v>21</v>
      </c>
      <c r="F303" s="30" t="s">
        <v>267</v>
      </c>
      <c r="G303" s="35"/>
      <c r="H303" s="30" t="s">
        <v>30</v>
      </c>
      <c r="I303" s="31">
        <v>36892.0</v>
      </c>
      <c r="J303" s="32"/>
      <c r="K303" s="33">
        <v>47635.0</v>
      </c>
      <c r="L303" s="30">
        <v>1.0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29" t="s">
        <v>887</v>
      </c>
      <c r="B304" s="30" t="s">
        <v>281</v>
      </c>
      <c r="C304" s="30" t="s">
        <v>891</v>
      </c>
      <c r="D304" s="30" t="s">
        <v>65</v>
      </c>
      <c r="E304" s="30" t="s">
        <v>21</v>
      </c>
      <c r="F304" s="30" t="s">
        <v>547</v>
      </c>
      <c r="G304" s="30">
        <v>2.0</v>
      </c>
      <c r="H304" s="30" t="s">
        <v>271</v>
      </c>
      <c r="I304" s="31">
        <v>45078.0</v>
      </c>
      <c r="J304" s="32"/>
      <c r="K304" s="33">
        <v>46174.0</v>
      </c>
      <c r="L304" s="30">
        <v>1.0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29" t="s">
        <v>892</v>
      </c>
      <c r="B305" s="30" t="s">
        <v>893</v>
      </c>
      <c r="C305" s="30" t="s">
        <v>590</v>
      </c>
      <c r="D305" s="30" t="s">
        <v>270</v>
      </c>
      <c r="E305" s="30" t="s">
        <v>21</v>
      </c>
      <c r="F305" s="30" t="s">
        <v>178</v>
      </c>
      <c r="G305" s="30" t="s">
        <v>391</v>
      </c>
      <c r="H305" s="30" t="s">
        <v>36</v>
      </c>
      <c r="I305" s="31">
        <v>45078.0</v>
      </c>
      <c r="J305" s="31">
        <v>46539.0</v>
      </c>
      <c r="K305" s="33">
        <v>47635.0</v>
      </c>
      <c r="L305" s="30">
        <v>2.0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29" t="s">
        <v>894</v>
      </c>
      <c r="B306" s="30" t="s">
        <v>895</v>
      </c>
      <c r="C306" s="30" t="s">
        <v>896</v>
      </c>
      <c r="D306" s="30" t="s">
        <v>192</v>
      </c>
      <c r="E306" s="30" t="s">
        <v>21</v>
      </c>
      <c r="F306" s="30" t="s">
        <v>66</v>
      </c>
      <c r="G306" s="30" t="s">
        <v>91</v>
      </c>
      <c r="H306" s="30" t="s">
        <v>108</v>
      </c>
      <c r="I306" s="31">
        <v>45444.0</v>
      </c>
      <c r="J306" s="32"/>
      <c r="K306" s="33">
        <v>46539.0</v>
      </c>
      <c r="L306" s="30">
        <v>1.0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29" t="s">
        <v>897</v>
      </c>
      <c r="B307" s="30" t="s">
        <v>338</v>
      </c>
      <c r="C307" s="30" t="s">
        <v>898</v>
      </c>
      <c r="D307" s="30" t="s">
        <v>102</v>
      </c>
      <c r="E307" s="30" t="s">
        <v>21</v>
      </c>
      <c r="F307" s="30" t="s">
        <v>157</v>
      </c>
      <c r="G307" s="30" t="s">
        <v>35</v>
      </c>
      <c r="H307" s="30" t="s">
        <v>139</v>
      </c>
      <c r="I307" s="31">
        <v>45444.0</v>
      </c>
      <c r="J307" s="32"/>
      <c r="K307" s="33">
        <v>46539.0</v>
      </c>
      <c r="L307" s="30">
        <v>1.0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29" t="s">
        <v>899</v>
      </c>
      <c r="B308" s="30" t="s">
        <v>900</v>
      </c>
      <c r="C308" s="30" t="s">
        <v>901</v>
      </c>
      <c r="D308" s="30" t="s">
        <v>137</v>
      </c>
      <c r="E308" s="30" t="s">
        <v>21</v>
      </c>
      <c r="F308" s="30" t="s">
        <v>243</v>
      </c>
      <c r="G308" s="30">
        <v>3.0</v>
      </c>
      <c r="H308" s="30" t="s">
        <v>357</v>
      </c>
      <c r="I308" s="31">
        <v>45078.0</v>
      </c>
      <c r="J308" s="32"/>
      <c r="K308" s="33">
        <v>46174.0</v>
      </c>
      <c r="L308" s="30">
        <v>1.0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29" t="s">
        <v>902</v>
      </c>
      <c r="B309" s="30" t="s">
        <v>903</v>
      </c>
      <c r="C309" s="35"/>
      <c r="D309" s="35"/>
      <c r="E309" s="30" t="s">
        <v>21</v>
      </c>
      <c r="F309" s="30" t="s">
        <v>464</v>
      </c>
      <c r="G309" s="30" t="s">
        <v>97</v>
      </c>
      <c r="H309" s="30" t="s">
        <v>98</v>
      </c>
      <c r="I309" s="31">
        <v>44713.0</v>
      </c>
      <c r="J309" s="32"/>
      <c r="K309" s="33">
        <v>45809.0</v>
      </c>
      <c r="L309" s="30">
        <v>1.0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29" t="s">
        <v>611</v>
      </c>
      <c r="B310" s="30" t="s">
        <v>606</v>
      </c>
      <c r="C310" s="30" t="s">
        <v>904</v>
      </c>
      <c r="D310" s="30" t="s">
        <v>20</v>
      </c>
      <c r="E310" s="30" t="s">
        <v>21</v>
      </c>
      <c r="F310" s="30" t="s">
        <v>78</v>
      </c>
      <c r="G310" s="30" t="s">
        <v>85</v>
      </c>
      <c r="H310" s="30" t="s">
        <v>318</v>
      </c>
      <c r="I310" s="31">
        <v>44713.0</v>
      </c>
      <c r="J310" s="32"/>
      <c r="K310" s="33">
        <v>45809.0</v>
      </c>
      <c r="L310" s="30">
        <v>1.0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29" t="s">
        <v>905</v>
      </c>
      <c r="B311" s="30" t="s">
        <v>44</v>
      </c>
      <c r="C311" s="30" t="s">
        <v>906</v>
      </c>
      <c r="D311" s="30" t="s">
        <v>163</v>
      </c>
      <c r="E311" s="30" t="s">
        <v>21</v>
      </c>
      <c r="F311" s="30" t="s">
        <v>58</v>
      </c>
      <c r="G311" s="30">
        <v>3.0</v>
      </c>
      <c r="H311" s="30" t="s">
        <v>224</v>
      </c>
      <c r="I311" s="31">
        <v>45078.0</v>
      </c>
      <c r="J311" s="32"/>
      <c r="K311" s="33">
        <v>46174.0</v>
      </c>
      <c r="L311" s="30">
        <v>1.0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29" t="s">
        <v>907</v>
      </c>
      <c r="B312" s="30" t="s">
        <v>118</v>
      </c>
      <c r="C312" s="30" t="s">
        <v>908</v>
      </c>
      <c r="D312" s="30" t="s">
        <v>107</v>
      </c>
      <c r="E312" s="30" t="s">
        <v>21</v>
      </c>
      <c r="F312" s="30" t="s">
        <v>72</v>
      </c>
      <c r="G312" s="30" t="s">
        <v>91</v>
      </c>
      <c r="H312" s="30" t="s">
        <v>108</v>
      </c>
      <c r="I312" s="31">
        <v>45444.0</v>
      </c>
      <c r="J312" s="32"/>
      <c r="K312" s="33">
        <v>46539.0</v>
      </c>
      <c r="L312" s="30">
        <v>1.0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29" t="s">
        <v>909</v>
      </c>
      <c r="B313" s="30" t="s">
        <v>409</v>
      </c>
      <c r="C313" s="30" t="s">
        <v>910</v>
      </c>
      <c r="D313" s="30" t="s">
        <v>430</v>
      </c>
      <c r="E313" s="30" t="s">
        <v>21</v>
      </c>
      <c r="F313" s="30" t="s">
        <v>72</v>
      </c>
      <c r="G313" s="30" t="s">
        <v>29</v>
      </c>
      <c r="H313" s="30" t="s">
        <v>148</v>
      </c>
      <c r="I313" s="31">
        <v>45444.0</v>
      </c>
      <c r="J313" s="32"/>
      <c r="K313" s="33">
        <v>46539.0</v>
      </c>
      <c r="L313" s="30">
        <v>1.0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29" t="s">
        <v>911</v>
      </c>
      <c r="B314" s="30" t="s">
        <v>353</v>
      </c>
      <c r="C314" s="30" t="s">
        <v>223</v>
      </c>
      <c r="D314" s="30" t="s">
        <v>20</v>
      </c>
      <c r="E314" s="30" t="s">
        <v>21</v>
      </c>
      <c r="F314" s="30" t="s">
        <v>78</v>
      </c>
      <c r="G314" s="30" t="s">
        <v>85</v>
      </c>
      <c r="H314" s="30" t="s">
        <v>318</v>
      </c>
      <c r="I314" s="31">
        <v>44713.0</v>
      </c>
      <c r="J314" s="32"/>
      <c r="K314" s="33">
        <v>45809.0</v>
      </c>
      <c r="L314" s="30">
        <v>1.0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29" t="s">
        <v>912</v>
      </c>
      <c r="B315" s="30" t="s">
        <v>697</v>
      </c>
      <c r="C315" s="30" t="s">
        <v>913</v>
      </c>
      <c r="D315" s="30" t="s">
        <v>65</v>
      </c>
      <c r="E315" s="30" t="s">
        <v>21</v>
      </c>
      <c r="F315" s="30" t="s">
        <v>58</v>
      </c>
      <c r="G315" s="30">
        <v>3.0</v>
      </c>
      <c r="H315" s="30" t="s">
        <v>271</v>
      </c>
      <c r="I315" s="31">
        <v>45078.0</v>
      </c>
      <c r="J315" s="32"/>
      <c r="K315" s="33">
        <v>46174.0</v>
      </c>
      <c r="L315" s="30">
        <v>1.0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29" t="s">
        <v>914</v>
      </c>
      <c r="B316" s="30" t="s">
        <v>915</v>
      </c>
      <c r="C316" s="30" t="s">
        <v>916</v>
      </c>
      <c r="D316" s="30" t="s">
        <v>95</v>
      </c>
      <c r="E316" s="30" t="s">
        <v>21</v>
      </c>
      <c r="F316" s="30" t="s">
        <v>47</v>
      </c>
      <c r="G316" s="30">
        <v>4.0</v>
      </c>
      <c r="H316" s="30" t="s">
        <v>48</v>
      </c>
      <c r="I316" s="31">
        <v>45078.0</v>
      </c>
      <c r="J316" s="31">
        <v>46174.0</v>
      </c>
      <c r="K316" s="33">
        <v>47270.0</v>
      </c>
      <c r="L316" s="30">
        <v>2.0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29" t="s">
        <v>914</v>
      </c>
      <c r="B317" s="30" t="s">
        <v>727</v>
      </c>
      <c r="C317" s="30" t="s">
        <v>917</v>
      </c>
      <c r="D317" s="30" t="s">
        <v>20</v>
      </c>
      <c r="E317" s="30" t="s">
        <v>21</v>
      </c>
      <c r="F317" s="30" t="s">
        <v>58</v>
      </c>
      <c r="G317" s="30">
        <v>2.0</v>
      </c>
      <c r="H317" s="30" t="s">
        <v>23</v>
      </c>
      <c r="I317" s="31">
        <v>45078.0</v>
      </c>
      <c r="J317" s="32"/>
      <c r="K317" s="33">
        <v>46174.0</v>
      </c>
      <c r="L317" s="30">
        <v>1.0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29" t="s">
        <v>914</v>
      </c>
      <c r="B318" s="30" t="s">
        <v>918</v>
      </c>
      <c r="C318" s="30" t="s">
        <v>891</v>
      </c>
      <c r="D318" s="30" t="s">
        <v>65</v>
      </c>
      <c r="E318" s="30" t="s">
        <v>21</v>
      </c>
      <c r="F318" s="30" t="s">
        <v>58</v>
      </c>
      <c r="G318" s="30">
        <v>1.0</v>
      </c>
      <c r="H318" s="30" t="s">
        <v>48</v>
      </c>
      <c r="I318" s="31">
        <v>45078.0</v>
      </c>
      <c r="J318" s="32"/>
      <c r="K318" s="33">
        <v>46174.0</v>
      </c>
      <c r="L318" s="30">
        <v>1.0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29" t="s">
        <v>914</v>
      </c>
      <c r="B319" s="30" t="s">
        <v>919</v>
      </c>
      <c r="C319" s="30" t="s">
        <v>920</v>
      </c>
      <c r="D319" s="30" t="s">
        <v>65</v>
      </c>
      <c r="E319" s="30" t="s">
        <v>21</v>
      </c>
      <c r="F319" s="30" t="s">
        <v>78</v>
      </c>
      <c r="G319" s="30" t="s">
        <v>41</v>
      </c>
      <c r="H319" s="30" t="s">
        <v>42</v>
      </c>
      <c r="I319" s="31">
        <v>44713.0</v>
      </c>
      <c r="J319" s="32"/>
      <c r="K319" s="33">
        <v>45809.0</v>
      </c>
      <c r="L319" s="30">
        <v>1.0</v>
      </c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29" t="s">
        <v>921</v>
      </c>
      <c r="B320" s="30" t="s">
        <v>338</v>
      </c>
      <c r="C320" s="35"/>
      <c r="D320" s="35"/>
      <c r="E320" s="30" t="s">
        <v>21</v>
      </c>
      <c r="F320" s="30" t="s">
        <v>66</v>
      </c>
      <c r="G320" s="30" t="s">
        <v>35</v>
      </c>
      <c r="H320" s="30" t="s">
        <v>36</v>
      </c>
      <c r="I320" s="31">
        <v>45444.0</v>
      </c>
      <c r="J320" s="32"/>
      <c r="K320" s="33">
        <v>46539.0</v>
      </c>
      <c r="L320" s="30">
        <v>1.0</v>
      </c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29" t="s">
        <v>922</v>
      </c>
      <c r="B321" s="30" t="s">
        <v>602</v>
      </c>
      <c r="C321" s="30" t="s">
        <v>923</v>
      </c>
      <c r="D321" s="30" t="s">
        <v>107</v>
      </c>
      <c r="E321" s="30" t="s">
        <v>21</v>
      </c>
      <c r="F321" s="30" t="s">
        <v>30</v>
      </c>
      <c r="G321" s="30" t="s">
        <v>91</v>
      </c>
      <c r="H321" s="30" t="s">
        <v>924</v>
      </c>
      <c r="I321" s="31">
        <v>42887.0</v>
      </c>
      <c r="J321" s="32"/>
      <c r="K321" s="33">
        <v>47635.0</v>
      </c>
      <c r="L321" s="30">
        <v>1.0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29" t="s">
        <v>925</v>
      </c>
      <c r="B322" s="30" t="s">
        <v>578</v>
      </c>
      <c r="C322" s="30" t="s">
        <v>926</v>
      </c>
      <c r="D322" s="30" t="s">
        <v>65</v>
      </c>
      <c r="E322" s="30" t="s">
        <v>21</v>
      </c>
      <c r="F322" s="30" t="s">
        <v>78</v>
      </c>
      <c r="G322" s="30" t="s">
        <v>41</v>
      </c>
      <c r="H322" s="30" t="s">
        <v>80</v>
      </c>
      <c r="I322" s="31">
        <v>44713.0</v>
      </c>
      <c r="J322" s="32"/>
      <c r="K322" s="33">
        <v>45809.0</v>
      </c>
      <c r="L322" s="30">
        <v>1.0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29" t="s">
        <v>927</v>
      </c>
      <c r="B323" s="30" t="s">
        <v>928</v>
      </c>
      <c r="C323" s="30" t="s">
        <v>929</v>
      </c>
      <c r="D323" s="30" t="s">
        <v>90</v>
      </c>
      <c r="E323" s="30" t="s">
        <v>21</v>
      </c>
      <c r="F323" s="30" t="s">
        <v>66</v>
      </c>
      <c r="G323" s="30" t="s">
        <v>29</v>
      </c>
      <c r="H323" s="30" t="s">
        <v>148</v>
      </c>
      <c r="I323" s="31">
        <v>45444.0</v>
      </c>
      <c r="J323" s="32"/>
      <c r="K323" s="33">
        <v>46539.0</v>
      </c>
      <c r="L323" s="30">
        <v>1.0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41" t="s">
        <v>930</v>
      </c>
      <c r="B324" s="42" t="s">
        <v>931</v>
      </c>
      <c r="C324" s="43"/>
      <c r="D324" s="43"/>
      <c r="E324" s="30" t="s">
        <v>21</v>
      </c>
      <c r="F324" s="42" t="s">
        <v>119</v>
      </c>
      <c r="G324" s="43"/>
      <c r="H324" s="43"/>
      <c r="I324" s="44">
        <v>45444.0</v>
      </c>
      <c r="J324" s="44">
        <v>46539.0</v>
      </c>
      <c r="K324" s="45">
        <v>47635.0</v>
      </c>
      <c r="L324" s="46">
        <v>2.0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29" t="s">
        <v>242</v>
      </c>
      <c r="B325" s="30" t="s">
        <v>893</v>
      </c>
      <c r="C325" s="30" t="s">
        <v>932</v>
      </c>
      <c r="D325" s="30" t="s">
        <v>95</v>
      </c>
      <c r="E325" s="30" t="s">
        <v>21</v>
      </c>
      <c r="F325" s="30" t="s">
        <v>673</v>
      </c>
      <c r="G325" s="30" t="s">
        <v>79</v>
      </c>
      <c r="H325" s="30" t="s">
        <v>98</v>
      </c>
      <c r="I325" s="31">
        <v>44713.0</v>
      </c>
      <c r="J325" s="32"/>
      <c r="K325" s="33">
        <v>45809.0</v>
      </c>
      <c r="L325" s="30">
        <v>1.0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29" t="s">
        <v>933</v>
      </c>
      <c r="B326" s="30" t="s">
        <v>934</v>
      </c>
      <c r="C326" s="30" t="s">
        <v>935</v>
      </c>
      <c r="D326" s="30" t="s">
        <v>185</v>
      </c>
      <c r="E326" s="30" t="s">
        <v>21</v>
      </c>
      <c r="F326" s="30" t="s">
        <v>157</v>
      </c>
      <c r="G326" s="30" t="s">
        <v>91</v>
      </c>
      <c r="H326" s="30" t="s">
        <v>129</v>
      </c>
      <c r="I326" s="31">
        <v>45444.0</v>
      </c>
      <c r="J326" s="32"/>
      <c r="K326" s="33">
        <v>46539.0</v>
      </c>
      <c r="L326" s="30">
        <v>1.0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29" t="s">
        <v>936</v>
      </c>
      <c r="B327" s="30" t="s">
        <v>118</v>
      </c>
      <c r="C327" s="30" t="s">
        <v>937</v>
      </c>
      <c r="D327" s="30" t="s">
        <v>102</v>
      </c>
      <c r="E327" s="30" t="s">
        <v>21</v>
      </c>
      <c r="F327" s="30" t="s">
        <v>147</v>
      </c>
      <c r="G327" s="30" t="s">
        <v>29</v>
      </c>
      <c r="H327" s="30" t="s">
        <v>139</v>
      </c>
      <c r="I327" s="31">
        <v>45444.0</v>
      </c>
      <c r="J327" s="32"/>
      <c r="K327" s="33">
        <v>46539.0</v>
      </c>
      <c r="L327" s="30">
        <v>1.0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29" t="s">
        <v>936</v>
      </c>
      <c r="B328" s="30" t="s">
        <v>938</v>
      </c>
      <c r="C328" s="30" t="s">
        <v>220</v>
      </c>
      <c r="D328" s="30" t="s">
        <v>71</v>
      </c>
      <c r="E328" s="30" t="s">
        <v>21</v>
      </c>
      <c r="F328" s="30" t="s">
        <v>267</v>
      </c>
      <c r="G328" s="35"/>
      <c r="H328" s="30" t="s">
        <v>30</v>
      </c>
      <c r="I328" s="31">
        <v>36892.0</v>
      </c>
      <c r="J328" s="32"/>
      <c r="K328" s="33">
        <v>47635.0</v>
      </c>
      <c r="L328" s="30">
        <v>2.0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29" t="s">
        <v>939</v>
      </c>
      <c r="B329" s="30" t="s">
        <v>940</v>
      </c>
      <c r="C329" s="30" t="s">
        <v>941</v>
      </c>
      <c r="D329" s="30" t="s">
        <v>95</v>
      </c>
      <c r="E329" s="30" t="s">
        <v>21</v>
      </c>
      <c r="F329" s="30" t="s">
        <v>248</v>
      </c>
      <c r="G329" s="30" t="s">
        <v>79</v>
      </c>
      <c r="H329" s="30" t="s">
        <v>249</v>
      </c>
      <c r="I329" s="31">
        <v>44713.0</v>
      </c>
      <c r="J329" s="32"/>
      <c r="K329" s="33">
        <v>45809.0</v>
      </c>
      <c r="L329" s="30">
        <v>1.0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29" t="s">
        <v>942</v>
      </c>
      <c r="B330" s="30" t="s">
        <v>777</v>
      </c>
      <c r="C330" s="35"/>
      <c r="D330" s="35"/>
      <c r="E330" s="30" t="s">
        <v>21</v>
      </c>
      <c r="F330" s="30" t="s">
        <v>213</v>
      </c>
      <c r="G330" s="30" t="s">
        <v>457</v>
      </c>
      <c r="H330" s="30" t="s">
        <v>36</v>
      </c>
      <c r="I330" s="31">
        <v>45444.0</v>
      </c>
      <c r="J330" s="32"/>
      <c r="K330" s="33">
        <v>46539.0</v>
      </c>
      <c r="L330" s="30">
        <v>1.0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29" t="s">
        <v>826</v>
      </c>
      <c r="B331" s="30" t="s">
        <v>943</v>
      </c>
      <c r="C331" s="30" t="s">
        <v>438</v>
      </c>
      <c r="D331" s="30" t="s">
        <v>65</v>
      </c>
      <c r="E331" s="30" t="s">
        <v>21</v>
      </c>
      <c r="F331" s="30" t="s">
        <v>138</v>
      </c>
      <c r="G331" s="30" t="s">
        <v>29</v>
      </c>
      <c r="H331" s="30" t="s">
        <v>67</v>
      </c>
      <c r="I331" s="31">
        <v>45444.0</v>
      </c>
      <c r="J331" s="32"/>
      <c r="K331" s="33">
        <v>46539.0</v>
      </c>
      <c r="L331" s="30">
        <v>1.0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29" t="s">
        <v>944</v>
      </c>
      <c r="B332" s="30" t="s">
        <v>524</v>
      </c>
      <c r="C332" s="30" t="s">
        <v>945</v>
      </c>
      <c r="D332" s="30" t="s">
        <v>20</v>
      </c>
      <c r="E332" s="30" t="s">
        <v>21</v>
      </c>
      <c r="F332" s="30" t="s">
        <v>66</v>
      </c>
      <c r="G332" s="30" t="s">
        <v>35</v>
      </c>
      <c r="H332" s="30" t="s">
        <v>148</v>
      </c>
      <c r="I332" s="31">
        <v>45444.0</v>
      </c>
      <c r="J332" s="32"/>
      <c r="K332" s="33">
        <v>46539.0</v>
      </c>
      <c r="L332" s="30">
        <v>1.0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29" t="s">
        <v>946</v>
      </c>
      <c r="B333" s="30" t="s">
        <v>947</v>
      </c>
      <c r="C333" s="30" t="s">
        <v>948</v>
      </c>
      <c r="D333" s="30" t="s">
        <v>192</v>
      </c>
      <c r="E333" s="30" t="s">
        <v>21</v>
      </c>
      <c r="F333" s="30" t="s">
        <v>196</v>
      </c>
      <c r="G333" s="30" t="s">
        <v>29</v>
      </c>
      <c r="H333" s="30" t="s">
        <v>108</v>
      </c>
      <c r="I333" s="31">
        <v>45444.0</v>
      </c>
      <c r="J333" s="32"/>
      <c r="K333" s="33">
        <v>46539.0</v>
      </c>
      <c r="L333" s="30">
        <v>1.0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29" t="s">
        <v>949</v>
      </c>
      <c r="B334" s="30" t="s">
        <v>313</v>
      </c>
      <c r="C334" s="52"/>
      <c r="D334" s="35"/>
      <c r="E334" s="30" t="s">
        <v>21</v>
      </c>
      <c r="F334" s="30" t="s">
        <v>950</v>
      </c>
      <c r="G334" s="30" t="s">
        <v>457</v>
      </c>
      <c r="H334" s="30" t="s">
        <v>36</v>
      </c>
      <c r="I334" s="31">
        <v>45444.0</v>
      </c>
      <c r="J334" s="31">
        <v>46174.0</v>
      </c>
      <c r="K334" s="33">
        <v>47270.0</v>
      </c>
      <c r="L334" s="30">
        <v>2.0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29" t="s">
        <v>949</v>
      </c>
      <c r="B335" s="30" t="s">
        <v>291</v>
      </c>
      <c r="C335" s="30" t="s">
        <v>951</v>
      </c>
      <c r="D335" s="30" t="s">
        <v>126</v>
      </c>
      <c r="E335" s="30" t="s">
        <v>21</v>
      </c>
      <c r="F335" s="30" t="s">
        <v>157</v>
      </c>
      <c r="G335" s="30" t="s">
        <v>91</v>
      </c>
      <c r="H335" s="30" t="s">
        <v>148</v>
      </c>
      <c r="I335" s="31">
        <v>45444.0</v>
      </c>
      <c r="J335" s="32"/>
      <c r="K335" s="33">
        <v>46539.0</v>
      </c>
      <c r="L335" s="30">
        <v>1.0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29" t="s">
        <v>949</v>
      </c>
      <c r="B336" s="30" t="s">
        <v>952</v>
      </c>
      <c r="C336" s="30" t="s">
        <v>953</v>
      </c>
      <c r="D336" s="30" t="s">
        <v>102</v>
      </c>
      <c r="E336" s="30" t="s">
        <v>21</v>
      </c>
      <c r="F336" s="30" t="s">
        <v>536</v>
      </c>
      <c r="G336" s="30" t="s">
        <v>91</v>
      </c>
      <c r="H336" s="30" t="s">
        <v>164</v>
      </c>
      <c r="I336" s="31">
        <v>45444.0</v>
      </c>
      <c r="J336" s="32"/>
      <c r="K336" s="33">
        <v>46539.0</v>
      </c>
      <c r="L336" s="30">
        <v>1.0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29" t="s">
        <v>949</v>
      </c>
      <c r="B337" s="30" t="s">
        <v>325</v>
      </c>
      <c r="C337" s="30" t="s">
        <v>954</v>
      </c>
      <c r="D337" s="30" t="s">
        <v>275</v>
      </c>
      <c r="E337" s="30" t="s">
        <v>21</v>
      </c>
      <c r="F337" s="30" t="s">
        <v>66</v>
      </c>
      <c r="G337" s="30" t="s">
        <v>91</v>
      </c>
      <c r="H337" s="30" t="s">
        <v>139</v>
      </c>
      <c r="I337" s="31">
        <v>45444.0</v>
      </c>
      <c r="J337" s="32"/>
      <c r="K337" s="33">
        <v>46539.0</v>
      </c>
      <c r="L337" s="30">
        <v>1.0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29" t="s">
        <v>949</v>
      </c>
      <c r="B338" s="30" t="s">
        <v>404</v>
      </c>
      <c r="C338" s="30" t="s">
        <v>955</v>
      </c>
      <c r="D338" s="30" t="s">
        <v>102</v>
      </c>
      <c r="E338" s="30" t="s">
        <v>21</v>
      </c>
      <c r="F338" s="30" t="s">
        <v>347</v>
      </c>
      <c r="G338" s="30" t="s">
        <v>35</v>
      </c>
      <c r="H338" s="30" t="s">
        <v>124</v>
      </c>
      <c r="I338" s="31">
        <v>43617.0</v>
      </c>
      <c r="J338" s="32"/>
      <c r="K338" s="33">
        <v>45809.0</v>
      </c>
      <c r="L338" s="30">
        <v>1.0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29" t="s">
        <v>956</v>
      </c>
      <c r="B339" s="30" t="s">
        <v>38</v>
      </c>
      <c r="C339" s="35"/>
      <c r="D339" s="35"/>
      <c r="E339" s="30" t="s">
        <v>21</v>
      </c>
      <c r="F339" s="30" t="s">
        <v>569</v>
      </c>
      <c r="G339" s="30" t="s">
        <v>35</v>
      </c>
      <c r="H339" s="30" t="s">
        <v>36</v>
      </c>
      <c r="I339" s="31">
        <v>45444.0</v>
      </c>
      <c r="J339" s="32"/>
      <c r="K339" s="33">
        <v>46539.0</v>
      </c>
      <c r="L339" s="30">
        <v>1.0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29" t="s">
        <v>956</v>
      </c>
      <c r="B340" s="30" t="s">
        <v>957</v>
      </c>
      <c r="C340" s="30" t="s">
        <v>958</v>
      </c>
      <c r="D340" s="30" t="s">
        <v>102</v>
      </c>
      <c r="E340" s="30" t="s">
        <v>21</v>
      </c>
      <c r="F340" s="30" t="s">
        <v>959</v>
      </c>
      <c r="G340" s="30">
        <v>2.0</v>
      </c>
      <c r="H340" s="30" t="s">
        <v>960</v>
      </c>
      <c r="I340" s="31">
        <v>45078.0</v>
      </c>
      <c r="J340" s="32"/>
      <c r="K340" s="33">
        <v>46174.0</v>
      </c>
      <c r="L340" s="30">
        <v>1.0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41" t="s">
        <v>961</v>
      </c>
      <c r="B341" s="42" t="s">
        <v>962</v>
      </c>
      <c r="C341" s="43"/>
      <c r="D341" s="43"/>
      <c r="E341" s="43"/>
      <c r="F341" s="42" t="s">
        <v>119</v>
      </c>
      <c r="G341" s="43"/>
      <c r="H341" s="43"/>
      <c r="I341" s="44">
        <v>45444.0</v>
      </c>
      <c r="J341" s="44">
        <v>46539.0</v>
      </c>
      <c r="K341" s="45">
        <v>47635.0</v>
      </c>
      <c r="L341" s="46">
        <v>2.0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29" t="s">
        <v>963</v>
      </c>
      <c r="B342" s="30" t="s">
        <v>964</v>
      </c>
      <c r="C342" s="30" t="s">
        <v>356</v>
      </c>
      <c r="D342" s="30" t="s">
        <v>137</v>
      </c>
      <c r="E342" s="30" t="s">
        <v>21</v>
      </c>
      <c r="F342" s="30" t="s">
        <v>243</v>
      </c>
      <c r="G342" s="30">
        <v>1.0</v>
      </c>
      <c r="H342" s="30" t="s">
        <v>357</v>
      </c>
      <c r="I342" s="31">
        <v>45078.0</v>
      </c>
      <c r="J342" s="32"/>
      <c r="K342" s="33">
        <v>46174.0</v>
      </c>
      <c r="L342" s="30">
        <v>1.0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29" t="s">
        <v>963</v>
      </c>
      <c r="B343" s="30" t="s">
        <v>965</v>
      </c>
      <c r="C343" s="30" t="s">
        <v>526</v>
      </c>
      <c r="D343" s="30" t="s">
        <v>266</v>
      </c>
      <c r="E343" s="30" t="s">
        <v>21</v>
      </c>
      <c r="F343" s="30" t="s">
        <v>47</v>
      </c>
      <c r="G343" s="30">
        <v>3.0</v>
      </c>
      <c r="H343" s="30" t="s">
        <v>279</v>
      </c>
      <c r="I343" s="31">
        <v>45078.0</v>
      </c>
      <c r="J343" s="32"/>
      <c r="K343" s="33">
        <v>46174.0</v>
      </c>
      <c r="L343" s="30">
        <v>1.0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29" t="s">
        <v>963</v>
      </c>
      <c r="B344" s="30" t="s">
        <v>678</v>
      </c>
      <c r="C344" s="30" t="s">
        <v>966</v>
      </c>
      <c r="D344" s="30" t="s">
        <v>27</v>
      </c>
      <c r="E344" s="30" t="s">
        <v>21</v>
      </c>
      <c r="F344" s="30" t="s">
        <v>491</v>
      </c>
      <c r="G344" s="30" t="s">
        <v>85</v>
      </c>
      <c r="H344" s="30" t="s">
        <v>133</v>
      </c>
      <c r="I344" s="31">
        <v>44713.0</v>
      </c>
      <c r="J344" s="32"/>
      <c r="K344" s="33">
        <v>45809.0</v>
      </c>
      <c r="L344" s="30">
        <v>1.0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29" t="s">
        <v>967</v>
      </c>
      <c r="B345" s="30" t="s">
        <v>968</v>
      </c>
      <c r="C345" s="35"/>
      <c r="D345" s="30" t="s">
        <v>20</v>
      </c>
      <c r="E345" s="30" t="s">
        <v>21</v>
      </c>
      <c r="F345" s="30" t="s">
        <v>243</v>
      </c>
      <c r="G345" s="30">
        <v>2.0</v>
      </c>
      <c r="H345" s="30" t="s">
        <v>23</v>
      </c>
      <c r="I345" s="31">
        <v>45078.0</v>
      </c>
      <c r="J345" s="32"/>
      <c r="K345" s="33">
        <v>46174.0</v>
      </c>
      <c r="L345" s="30">
        <v>1.0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29" t="s">
        <v>969</v>
      </c>
      <c r="B346" s="30" t="s">
        <v>970</v>
      </c>
      <c r="C346" s="30" t="s">
        <v>971</v>
      </c>
      <c r="D346" s="30" t="s">
        <v>152</v>
      </c>
      <c r="E346" s="30" t="s">
        <v>21</v>
      </c>
      <c r="F346" s="30" t="s">
        <v>78</v>
      </c>
      <c r="G346" s="30" t="s">
        <v>79</v>
      </c>
      <c r="H346" s="30" t="s">
        <v>133</v>
      </c>
      <c r="I346" s="31">
        <v>44713.0</v>
      </c>
      <c r="J346" s="32"/>
      <c r="K346" s="33">
        <v>45809.0</v>
      </c>
      <c r="L346" s="30">
        <v>1.0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29" t="s">
        <v>972</v>
      </c>
      <c r="B347" s="30" t="s">
        <v>158</v>
      </c>
      <c r="C347" s="30" t="s">
        <v>761</v>
      </c>
      <c r="D347" s="30" t="s">
        <v>57</v>
      </c>
      <c r="E347" s="35"/>
      <c r="F347" s="30" t="s">
        <v>72</v>
      </c>
      <c r="G347" s="30" t="s">
        <v>91</v>
      </c>
      <c r="H347" s="30" t="s">
        <v>129</v>
      </c>
      <c r="I347" s="31">
        <v>45444.0</v>
      </c>
      <c r="J347" s="32"/>
      <c r="K347" s="33">
        <v>46539.0</v>
      </c>
      <c r="L347" s="30">
        <v>1.0</v>
      </c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29" t="s">
        <v>973</v>
      </c>
      <c r="B348" s="30" t="s">
        <v>974</v>
      </c>
      <c r="C348" s="30" t="s">
        <v>761</v>
      </c>
      <c r="D348" s="30" t="s">
        <v>57</v>
      </c>
      <c r="E348" s="35"/>
      <c r="F348" s="30" t="s">
        <v>66</v>
      </c>
      <c r="G348" s="30" t="s">
        <v>35</v>
      </c>
      <c r="H348" s="30" t="s">
        <v>129</v>
      </c>
      <c r="I348" s="31">
        <v>45444.0</v>
      </c>
      <c r="J348" s="32"/>
      <c r="K348" s="33">
        <v>46539.0</v>
      </c>
      <c r="L348" s="30">
        <v>1.0</v>
      </c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29" t="s">
        <v>975</v>
      </c>
      <c r="B349" s="30" t="s">
        <v>783</v>
      </c>
      <c r="C349" s="30" t="s">
        <v>122</v>
      </c>
      <c r="D349" s="30" t="s">
        <v>275</v>
      </c>
      <c r="E349" s="35"/>
      <c r="F349" s="30" t="s">
        <v>157</v>
      </c>
      <c r="G349" s="30" t="s">
        <v>29</v>
      </c>
      <c r="H349" s="30" t="s">
        <v>139</v>
      </c>
      <c r="I349" s="31">
        <v>45444.0</v>
      </c>
      <c r="J349" s="32"/>
      <c r="K349" s="33">
        <v>46539.0</v>
      </c>
      <c r="L349" s="30">
        <v>1.0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29" t="s">
        <v>976</v>
      </c>
      <c r="B350" s="30" t="s">
        <v>977</v>
      </c>
      <c r="C350" s="30" t="s">
        <v>978</v>
      </c>
      <c r="D350" s="30" t="s">
        <v>126</v>
      </c>
      <c r="E350" s="35"/>
      <c r="F350" s="30" t="s">
        <v>153</v>
      </c>
      <c r="G350" s="30" t="s">
        <v>35</v>
      </c>
      <c r="H350" s="30" t="s">
        <v>148</v>
      </c>
      <c r="I350" s="31">
        <v>45444.0</v>
      </c>
      <c r="J350" s="32"/>
      <c r="K350" s="33">
        <v>46539.0</v>
      </c>
      <c r="L350" s="30">
        <v>1.0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29" t="s">
        <v>979</v>
      </c>
      <c r="B351" s="30" t="s">
        <v>980</v>
      </c>
      <c r="C351" s="30" t="s">
        <v>372</v>
      </c>
      <c r="D351" s="30" t="s">
        <v>71</v>
      </c>
      <c r="E351" s="30" t="s">
        <v>21</v>
      </c>
      <c r="F351" s="30" t="s">
        <v>58</v>
      </c>
      <c r="G351" s="30">
        <v>1.0</v>
      </c>
      <c r="H351" s="30" t="s">
        <v>206</v>
      </c>
      <c r="I351" s="31">
        <v>45078.0</v>
      </c>
      <c r="J351" s="32"/>
      <c r="K351" s="33">
        <v>46174.0</v>
      </c>
      <c r="L351" s="30">
        <v>1.0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29" t="s">
        <v>981</v>
      </c>
      <c r="B352" s="30" t="s">
        <v>118</v>
      </c>
      <c r="C352" s="30" t="s">
        <v>761</v>
      </c>
      <c r="D352" s="30" t="s">
        <v>57</v>
      </c>
      <c r="E352" s="35"/>
      <c r="F352" s="30" t="s">
        <v>157</v>
      </c>
      <c r="G352" s="30" t="s">
        <v>29</v>
      </c>
      <c r="H352" s="30" t="s">
        <v>129</v>
      </c>
      <c r="I352" s="31">
        <v>45444.0</v>
      </c>
      <c r="J352" s="32"/>
      <c r="K352" s="33">
        <v>46539.0</v>
      </c>
      <c r="L352" s="30">
        <v>1.0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29" t="s">
        <v>982</v>
      </c>
      <c r="B353" s="30" t="s">
        <v>121</v>
      </c>
      <c r="C353" s="30" t="s">
        <v>983</v>
      </c>
      <c r="D353" s="30" t="s">
        <v>137</v>
      </c>
      <c r="E353" s="35"/>
      <c r="F353" s="30" t="s">
        <v>376</v>
      </c>
      <c r="G353" s="30" t="s">
        <v>91</v>
      </c>
      <c r="H353" s="30" t="s">
        <v>168</v>
      </c>
      <c r="I353" s="31">
        <v>45444.0</v>
      </c>
      <c r="J353" s="32"/>
      <c r="K353" s="33">
        <v>46539.0</v>
      </c>
      <c r="L353" s="30">
        <v>1.0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29" t="s">
        <v>984</v>
      </c>
      <c r="B354" s="30" t="s">
        <v>327</v>
      </c>
      <c r="C354" s="30" t="s">
        <v>495</v>
      </c>
      <c r="D354" s="30" t="s">
        <v>27</v>
      </c>
      <c r="E354" s="35"/>
      <c r="F354" s="30" t="s">
        <v>157</v>
      </c>
      <c r="G354" s="30" t="s">
        <v>91</v>
      </c>
      <c r="H354" s="30" t="s">
        <v>103</v>
      </c>
      <c r="I354" s="31">
        <v>45444.0</v>
      </c>
      <c r="J354" s="32"/>
      <c r="K354" s="33">
        <v>46539.0</v>
      </c>
      <c r="L354" s="30">
        <v>1.0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29" t="s">
        <v>985</v>
      </c>
      <c r="B355" s="30" t="s">
        <v>727</v>
      </c>
      <c r="C355" s="30" t="s">
        <v>986</v>
      </c>
      <c r="D355" s="30" t="s">
        <v>20</v>
      </c>
      <c r="E355" s="30" t="s">
        <v>21</v>
      </c>
      <c r="F355" s="30" t="s">
        <v>78</v>
      </c>
      <c r="G355" s="30" t="s">
        <v>41</v>
      </c>
      <c r="H355" s="30" t="s">
        <v>133</v>
      </c>
      <c r="I355" s="31">
        <v>44713.0</v>
      </c>
      <c r="J355" s="32"/>
      <c r="K355" s="33">
        <v>45809.0</v>
      </c>
      <c r="L355" s="30">
        <v>1.0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29" t="s">
        <v>987</v>
      </c>
      <c r="B356" s="30" t="s">
        <v>251</v>
      </c>
      <c r="C356" s="30" t="s">
        <v>873</v>
      </c>
      <c r="D356" s="30" t="s">
        <v>46</v>
      </c>
      <c r="E356" s="30" t="s">
        <v>21</v>
      </c>
      <c r="F356" s="30" t="s">
        <v>988</v>
      </c>
      <c r="G356" s="30">
        <v>2.0</v>
      </c>
      <c r="H356" s="30" t="s">
        <v>48</v>
      </c>
      <c r="I356" s="31">
        <v>45078.0</v>
      </c>
      <c r="J356" s="31">
        <v>46174.0</v>
      </c>
      <c r="K356" s="33">
        <v>47270.0</v>
      </c>
      <c r="L356" s="30">
        <v>2.0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29" t="s">
        <v>989</v>
      </c>
      <c r="B357" s="30" t="s">
        <v>561</v>
      </c>
      <c r="C357" s="30" t="s">
        <v>990</v>
      </c>
      <c r="D357" s="30" t="s">
        <v>102</v>
      </c>
      <c r="E357" s="30" t="s">
        <v>21</v>
      </c>
      <c r="F357" s="30" t="s">
        <v>78</v>
      </c>
      <c r="G357" s="30" t="s">
        <v>79</v>
      </c>
      <c r="H357" s="30" t="s">
        <v>86</v>
      </c>
      <c r="I357" s="31">
        <v>44713.0</v>
      </c>
      <c r="J357" s="32"/>
      <c r="K357" s="33">
        <v>45809.0</v>
      </c>
      <c r="L357" s="30">
        <v>1.0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29" t="s">
        <v>991</v>
      </c>
      <c r="B358" s="30" t="s">
        <v>992</v>
      </c>
      <c r="C358" s="30" t="s">
        <v>111</v>
      </c>
      <c r="D358" s="30" t="s">
        <v>112</v>
      </c>
      <c r="E358" s="30" t="s">
        <v>21</v>
      </c>
      <c r="F358" s="30" t="s">
        <v>113</v>
      </c>
      <c r="G358" s="30" t="s">
        <v>85</v>
      </c>
      <c r="H358" s="30" t="s">
        <v>42</v>
      </c>
      <c r="I358" s="31">
        <v>44713.0</v>
      </c>
      <c r="J358" s="32"/>
      <c r="K358" s="33">
        <v>45809.0</v>
      </c>
      <c r="L358" s="30">
        <v>1.0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29" t="s">
        <v>993</v>
      </c>
      <c r="B359" s="30" t="s">
        <v>609</v>
      </c>
      <c r="C359" s="30" t="s">
        <v>781</v>
      </c>
      <c r="D359" s="30" t="s">
        <v>57</v>
      </c>
      <c r="E359" s="30" t="s">
        <v>21</v>
      </c>
      <c r="F359" s="30" t="s">
        <v>78</v>
      </c>
      <c r="G359" s="30" t="s">
        <v>85</v>
      </c>
      <c r="H359" s="30" t="s">
        <v>80</v>
      </c>
      <c r="I359" s="31">
        <v>44713.0</v>
      </c>
      <c r="J359" s="32"/>
      <c r="K359" s="33">
        <v>45809.0</v>
      </c>
      <c r="L359" s="30">
        <v>1.0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29" t="s">
        <v>994</v>
      </c>
      <c r="B360" s="30" t="s">
        <v>359</v>
      </c>
      <c r="C360" s="30" t="s">
        <v>550</v>
      </c>
      <c r="D360" s="30" t="s">
        <v>102</v>
      </c>
      <c r="E360" s="30" t="s">
        <v>21</v>
      </c>
      <c r="F360" s="30" t="s">
        <v>995</v>
      </c>
      <c r="G360" s="30" t="s">
        <v>996</v>
      </c>
      <c r="H360" s="30" t="s">
        <v>30</v>
      </c>
      <c r="I360" s="31">
        <v>43136.0</v>
      </c>
      <c r="J360" s="32"/>
      <c r="K360" s="33">
        <v>47635.0</v>
      </c>
      <c r="L360" s="30">
        <v>1.0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29" t="s">
        <v>997</v>
      </c>
      <c r="B361" s="30" t="s">
        <v>44</v>
      </c>
      <c r="C361" s="30" t="s">
        <v>256</v>
      </c>
      <c r="D361" s="30" t="s">
        <v>102</v>
      </c>
      <c r="E361" s="30" t="s">
        <v>21</v>
      </c>
      <c r="F361" s="30" t="s">
        <v>253</v>
      </c>
      <c r="G361" s="30">
        <v>2.0</v>
      </c>
      <c r="H361" s="30" t="s">
        <v>48</v>
      </c>
      <c r="I361" s="31">
        <v>45078.0</v>
      </c>
      <c r="J361" s="32"/>
      <c r="K361" s="33">
        <v>46174.0</v>
      </c>
      <c r="L361" s="30">
        <v>1.0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29" t="s">
        <v>998</v>
      </c>
      <c r="B362" s="30" t="s">
        <v>999</v>
      </c>
      <c r="C362" s="30" t="s">
        <v>1000</v>
      </c>
      <c r="D362" s="30" t="s">
        <v>137</v>
      </c>
      <c r="E362" s="30" t="s">
        <v>21</v>
      </c>
      <c r="F362" s="30" t="s">
        <v>138</v>
      </c>
      <c r="G362" s="30" t="s">
        <v>391</v>
      </c>
      <c r="H362" s="30" t="s">
        <v>36</v>
      </c>
      <c r="I362" s="31">
        <v>45444.0</v>
      </c>
      <c r="J362" s="31">
        <v>46539.0</v>
      </c>
      <c r="K362" s="33">
        <v>47635.0</v>
      </c>
      <c r="L362" s="30">
        <v>2.0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41" t="s">
        <v>1001</v>
      </c>
      <c r="B363" s="42" t="s">
        <v>459</v>
      </c>
      <c r="C363" s="43"/>
      <c r="D363" s="43"/>
      <c r="E363" s="43"/>
      <c r="F363" s="42" t="s">
        <v>119</v>
      </c>
      <c r="G363" s="43"/>
      <c r="H363" s="43"/>
      <c r="I363" s="44">
        <v>45444.0</v>
      </c>
      <c r="J363" s="44">
        <v>46539.0</v>
      </c>
      <c r="K363" s="45">
        <v>47635.0</v>
      </c>
      <c r="L363" s="46">
        <v>2.0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29" t="s">
        <v>1002</v>
      </c>
      <c r="B364" s="30" t="s">
        <v>1003</v>
      </c>
      <c r="C364" s="30" t="s">
        <v>1004</v>
      </c>
      <c r="D364" s="30" t="s">
        <v>266</v>
      </c>
      <c r="E364" s="30" t="s">
        <v>21</v>
      </c>
      <c r="F364" s="30" t="s">
        <v>1005</v>
      </c>
      <c r="G364" s="30" t="s">
        <v>1006</v>
      </c>
      <c r="H364" s="30" t="s">
        <v>98</v>
      </c>
      <c r="I364" s="31">
        <v>44713.0</v>
      </c>
      <c r="J364" s="32"/>
      <c r="K364" s="33">
        <v>45809.0</v>
      </c>
      <c r="L364" s="30">
        <v>1.0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29" t="s">
        <v>1007</v>
      </c>
      <c r="B365" s="30" t="s">
        <v>1008</v>
      </c>
      <c r="C365" s="30" t="s">
        <v>383</v>
      </c>
      <c r="D365" s="30" t="s">
        <v>84</v>
      </c>
      <c r="E365" s="30" t="s">
        <v>21</v>
      </c>
      <c r="F365" s="30" t="s">
        <v>243</v>
      </c>
      <c r="G365" s="30">
        <v>1.0</v>
      </c>
      <c r="H365" s="30" t="s">
        <v>224</v>
      </c>
      <c r="I365" s="31">
        <v>45078.0</v>
      </c>
      <c r="J365" s="32"/>
      <c r="K365" s="33">
        <v>46174.0</v>
      </c>
      <c r="L365" s="30">
        <v>1.0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29" t="s">
        <v>1009</v>
      </c>
      <c r="B366" s="30" t="s">
        <v>1010</v>
      </c>
      <c r="C366" s="30" t="s">
        <v>61</v>
      </c>
      <c r="D366" s="30" t="s">
        <v>27</v>
      </c>
      <c r="E366" s="30" t="s">
        <v>21</v>
      </c>
      <c r="F366" s="30" t="s">
        <v>113</v>
      </c>
      <c r="G366" s="30" t="s">
        <v>85</v>
      </c>
      <c r="H366" s="30" t="s">
        <v>285</v>
      </c>
      <c r="I366" s="31">
        <v>44713.0</v>
      </c>
      <c r="J366" s="32"/>
      <c r="K366" s="33">
        <v>45809.0</v>
      </c>
      <c r="L366" s="30">
        <v>1.0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41" t="s">
        <v>1011</v>
      </c>
      <c r="B367" s="42" t="s">
        <v>1012</v>
      </c>
      <c r="C367" s="43"/>
      <c r="D367" s="43"/>
      <c r="E367" s="43"/>
      <c r="F367" s="42" t="s">
        <v>119</v>
      </c>
      <c r="G367" s="43"/>
      <c r="H367" s="43"/>
      <c r="I367" s="44">
        <v>45444.0</v>
      </c>
      <c r="J367" s="44">
        <v>46539.0</v>
      </c>
      <c r="K367" s="45">
        <v>47635.0</v>
      </c>
      <c r="L367" s="46">
        <v>2.0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29" t="s">
        <v>1013</v>
      </c>
      <c r="B368" s="30" t="s">
        <v>1014</v>
      </c>
      <c r="C368" s="35"/>
      <c r="D368" s="35"/>
      <c r="E368" s="30" t="s">
        <v>1015</v>
      </c>
      <c r="F368" s="30" t="s">
        <v>1016</v>
      </c>
      <c r="G368" s="30" t="s">
        <v>91</v>
      </c>
      <c r="H368" s="30" t="s">
        <v>124</v>
      </c>
      <c r="I368" s="31">
        <v>43617.0</v>
      </c>
      <c r="J368" s="32"/>
      <c r="K368" s="33">
        <v>45809.0</v>
      </c>
      <c r="L368" s="30">
        <v>1.0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29" t="s">
        <v>1017</v>
      </c>
      <c r="B369" s="30" t="s">
        <v>82</v>
      </c>
      <c r="C369" s="30" t="s">
        <v>1018</v>
      </c>
      <c r="D369" s="30" t="s">
        <v>27</v>
      </c>
      <c r="E369" s="30" t="s">
        <v>21</v>
      </c>
      <c r="F369" s="30" t="s">
        <v>289</v>
      </c>
      <c r="G369" s="30" t="s">
        <v>41</v>
      </c>
      <c r="H369" s="30" t="s">
        <v>285</v>
      </c>
      <c r="I369" s="31">
        <v>44713.0</v>
      </c>
      <c r="J369" s="32"/>
      <c r="K369" s="33">
        <v>45809.0</v>
      </c>
      <c r="L369" s="30">
        <v>1.0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29" t="s">
        <v>1019</v>
      </c>
      <c r="B370" s="30" t="s">
        <v>1020</v>
      </c>
      <c r="C370" s="30" t="s">
        <v>1021</v>
      </c>
      <c r="D370" s="30" t="s">
        <v>27</v>
      </c>
      <c r="E370" s="30" t="s">
        <v>21</v>
      </c>
      <c r="F370" s="30" t="s">
        <v>1022</v>
      </c>
      <c r="G370" s="30" t="s">
        <v>1023</v>
      </c>
      <c r="H370" s="30" t="s">
        <v>30</v>
      </c>
      <c r="I370" s="31">
        <v>41339.0</v>
      </c>
      <c r="J370" s="32"/>
      <c r="K370" s="33">
        <v>47635.0</v>
      </c>
      <c r="L370" s="30">
        <v>1.0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29" t="s">
        <v>1024</v>
      </c>
      <c r="B371" s="30" t="s">
        <v>453</v>
      </c>
      <c r="C371" s="30" t="s">
        <v>1025</v>
      </c>
      <c r="D371" s="30" t="s">
        <v>46</v>
      </c>
      <c r="E371" s="30" t="s">
        <v>21</v>
      </c>
      <c r="F371" s="30" t="s">
        <v>210</v>
      </c>
      <c r="G371" s="30">
        <v>1.0</v>
      </c>
      <c r="H371" s="30" t="s">
        <v>48</v>
      </c>
      <c r="I371" s="31">
        <v>45078.0</v>
      </c>
      <c r="J371" s="31">
        <v>46174.0</v>
      </c>
      <c r="K371" s="33">
        <v>47270.0</v>
      </c>
      <c r="L371" s="30">
        <v>2.0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29" t="s">
        <v>1026</v>
      </c>
      <c r="B372" s="30" t="s">
        <v>1027</v>
      </c>
      <c r="C372" s="30" t="s">
        <v>1028</v>
      </c>
      <c r="D372" s="30" t="s">
        <v>65</v>
      </c>
      <c r="E372" s="30" t="s">
        <v>21</v>
      </c>
      <c r="F372" s="30" t="s">
        <v>210</v>
      </c>
      <c r="G372" s="30">
        <v>3.0</v>
      </c>
      <c r="H372" s="30" t="s">
        <v>48</v>
      </c>
      <c r="I372" s="31">
        <v>45078.0</v>
      </c>
      <c r="J372" s="31">
        <v>46174.0</v>
      </c>
      <c r="K372" s="33">
        <v>47270.0</v>
      </c>
      <c r="L372" s="30">
        <v>2.0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29" t="s">
        <v>1029</v>
      </c>
      <c r="B373" s="30" t="s">
        <v>1030</v>
      </c>
      <c r="C373" s="30" t="s">
        <v>1031</v>
      </c>
      <c r="D373" s="30" t="s">
        <v>20</v>
      </c>
      <c r="E373" s="30" t="s">
        <v>21</v>
      </c>
      <c r="F373" s="30" t="s">
        <v>78</v>
      </c>
      <c r="G373" s="30" t="s">
        <v>79</v>
      </c>
      <c r="H373" s="30" t="s">
        <v>42</v>
      </c>
      <c r="I373" s="31">
        <v>44713.0</v>
      </c>
      <c r="J373" s="32"/>
      <c r="K373" s="33">
        <v>45809.0</v>
      </c>
      <c r="L373" s="30">
        <v>1.0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29" t="s">
        <v>1032</v>
      </c>
      <c r="B374" s="30" t="s">
        <v>340</v>
      </c>
      <c r="C374" s="30" t="s">
        <v>1033</v>
      </c>
      <c r="D374" s="30" t="s">
        <v>20</v>
      </c>
      <c r="E374" s="30" t="s">
        <v>21</v>
      </c>
      <c r="F374" s="30" t="s">
        <v>201</v>
      </c>
      <c r="G374" s="30">
        <v>2.0</v>
      </c>
      <c r="H374" s="30" t="s">
        <v>244</v>
      </c>
      <c r="I374" s="31">
        <v>45078.0</v>
      </c>
      <c r="J374" s="32"/>
      <c r="K374" s="33">
        <v>46174.0</v>
      </c>
      <c r="L374" s="30">
        <v>1.0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29" t="s">
        <v>1034</v>
      </c>
      <c r="B375" s="30" t="s">
        <v>1035</v>
      </c>
      <c r="C375" s="35"/>
      <c r="D375" s="35"/>
      <c r="E375" s="30" t="s">
        <v>1036</v>
      </c>
      <c r="F375" s="30" t="s">
        <v>1037</v>
      </c>
      <c r="G375" s="30" t="s">
        <v>1038</v>
      </c>
      <c r="H375" s="30" t="s">
        <v>30</v>
      </c>
      <c r="I375" s="31">
        <v>42060.0</v>
      </c>
      <c r="J375" s="32"/>
      <c r="K375" s="33">
        <v>47635.0</v>
      </c>
      <c r="L375" s="30">
        <v>1.0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29" t="s">
        <v>1039</v>
      </c>
      <c r="B376" s="30" t="s">
        <v>1040</v>
      </c>
      <c r="C376" s="30" t="s">
        <v>1041</v>
      </c>
      <c r="D376" s="30" t="s">
        <v>1042</v>
      </c>
      <c r="E376" s="30" t="s">
        <v>21</v>
      </c>
      <c r="F376" s="30" t="s">
        <v>680</v>
      </c>
      <c r="G376" s="30" t="s">
        <v>79</v>
      </c>
      <c r="H376" s="30" t="s">
        <v>98</v>
      </c>
      <c r="I376" s="31">
        <v>44713.0</v>
      </c>
      <c r="J376" s="32"/>
      <c r="K376" s="33">
        <v>45809.0</v>
      </c>
      <c r="L376" s="30">
        <v>1.0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29" t="s">
        <v>1043</v>
      </c>
      <c r="B377" s="30" t="s">
        <v>156</v>
      </c>
      <c r="C377" s="30" t="s">
        <v>1044</v>
      </c>
      <c r="D377" s="30" t="s">
        <v>430</v>
      </c>
      <c r="E377" s="30" t="s">
        <v>21</v>
      </c>
      <c r="F377" s="30" t="s">
        <v>1045</v>
      </c>
      <c r="G377" s="35"/>
      <c r="H377" s="35"/>
      <c r="I377" s="31">
        <v>44348.0</v>
      </c>
      <c r="J377" s="32"/>
      <c r="K377" s="33">
        <v>46539.0</v>
      </c>
      <c r="L377" s="30">
        <v>1.0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29" t="s">
        <v>1046</v>
      </c>
      <c r="B378" s="30" t="s">
        <v>1047</v>
      </c>
      <c r="C378" s="35"/>
      <c r="D378" s="35"/>
      <c r="E378" s="35"/>
      <c r="F378" s="30" t="s">
        <v>213</v>
      </c>
      <c r="G378" s="30" t="s">
        <v>35</v>
      </c>
      <c r="H378" s="30" t="s">
        <v>36</v>
      </c>
      <c r="I378" s="31">
        <v>45444.0</v>
      </c>
      <c r="J378" s="32"/>
      <c r="K378" s="33">
        <v>46539.0</v>
      </c>
      <c r="L378" s="30">
        <v>1.0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29" t="s">
        <v>1048</v>
      </c>
      <c r="B379" s="30" t="s">
        <v>414</v>
      </c>
      <c r="C379" s="30" t="s">
        <v>1049</v>
      </c>
      <c r="D379" s="30" t="s">
        <v>102</v>
      </c>
      <c r="E379" s="30" t="s">
        <v>21</v>
      </c>
      <c r="F379" s="30" t="s">
        <v>1050</v>
      </c>
      <c r="G379" s="30">
        <v>2.0</v>
      </c>
      <c r="H379" s="30" t="s">
        <v>48</v>
      </c>
      <c r="I379" s="31">
        <v>45078.0</v>
      </c>
      <c r="J379" s="32"/>
      <c r="K379" s="33">
        <v>46174.0</v>
      </c>
      <c r="L379" s="30">
        <v>1.0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29" t="s">
        <v>1051</v>
      </c>
      <c r="B380" s="30" t="s">
        <v>651</v>
      </c>
      <c r="C380" s="30" t="s">
        <v>1052</v>
      </c>
      <c r="D380" s="30" t="s">
        <v>102</v>
      </c>
      <c r="E380" s="30" t="s">
        <v>21</v>
      </c>
      <c r="F380" s="30" t="s">
        <v>347</v>
      </c>
      <c r="G380" s="30" t="s">
        <v>29</v>
      </c>
      <c r="H380" s="30" t="s">
        <v>124</v>
      </c>
      <c r="I380" s="31">
        <v>43617.0</v>
      </c>
      <c r="J380" s="32"/>
      <c r="K380" s="33">
        <v>45809.0</v>
      </c>
      <c r="L380" s="30">
        <v>1.0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29" t="s">
        <v>1053</v>
      </c>
      <c r="B381" s="30" t="s">
        <v>893</v>
      </c>
      <c r="C381" s="30" t="s">
        <v>396</v>
      </c>
      <c r="D381" s="30" t="s">
        <v>102</v>
      </c>
      <c r="E381" s="30" t="s">
        <v>21</v>
      </c>
      <c r="F381" s="30" t="s">
        <v>138</v>
      </c>
      <c r="G381" s="30" t="s">
        <v>91</v>
      </c>
      <c r="H381" s="30" t="s">
        <v>36</v>
      </c>
      <c r="I381" s="31">
        <v>45444.0</v>
      </c>
      <c r="J381" s="31">
        <v>46539.0</v>
      </c>
      <c r="K381" s="33">
        <v>47635.0</v>
      </c>
      <c r="L381" s="30">
        <v>2.0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29" t="s">
        <v>1054</v>
      </c>
      <c r="B382" s="30" t="s">
        <v>1055</v>
      </c>
      <c r="C382" s="30" t="s">
        <v>1056</v>
      </c>
      <c r="D382" s="30" t="s">
        <v>126</v>
      </c>
      <c r="E382" s="30" t="s">
        <v>21</v>
      </c>
      <c r="F382" s="30" t="s">
        <v>1057</v>
      </c>
      <c r="G382" s="30" t="s">
        <v>85</v>
      </c>
      <c r="H382" s="30" t="s">
        <v>1058</v>
      </c>
      <c r="I382" s="31">
        <v>45444.0</v>
      </c>
      <c r="J382" s="32"/>
      <c r="K382" s="33">
        <v>46539.0</v>
      </c>
      <c r="L382" s="30">
        <v>1.0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29" t="s">
        <v>1059</v>
      </c>
      <c r="B383" s="30" t="s">
        <v>141</v>
      </c>
      <c r="C383" s="30" t="s">
        <v>1060</v>
      </c>
      <c r="D383" s="30" t="s">
        <v>266</v>
      </c>
      <c r="E383" s="30" t="s">
        <v>21</v>
      </c>
      <c r="F383" s="30" t="s">
        <v>1061</v>
      </c>
      <c r="G383" s="30">
        <v>1.0</v>
      </c>
      <c r="H383" s="30" t="s">
        <v>48</v>
      </c>
      <c r="I383" s="31">
        <v>45078.0</v>
      </c>
      <c r="J383" s="31">
        <v>46174.0</v>
      </c>
      <c r="K383" s="33">
        <v>47270.0</v>
      </c>
      <c r="L383" s="30">
        <v>2.0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29" t="s">
        <v>1062</v>
      </c>
      <c r="B384" s="30" t="s">
        <v>323</v>
      </c>
      <c r="C384" s="30" t="s">
        <v>1063</v>
      </c>
      <c r="D384" s="30" t="s">
        <v>266</v>
      </c>
      <c r="E384" s="30" t="s">
        <v>21</v>
      </c>
      <c r="F384" s="30" t="s">
        <v>306</v>
      </c>
      <c r="G384" s="30" t="s">
        <v>1064</v>
      </c>
      <c r="H384" s="30" t="s">
        <v>30</v>
      </c>
      <c r="I384" s="31">
        <v>43132.0</v>
      </c>
      <c r="J384" s="32"/>
      <c r="K384" s="33">
        <v>47635.0</v>
      </c>
      <c r="L384" s="30">
        <v>1.0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29" t="s">
        <v>1065</v>
      </c>
      <c r="B385" s="30" t="s">
        <v>1066</v>
      </c>
      <c r="C385" s="30" t="s">
        <v>748</v>
      </c>
      <c r="D385" s="30" t="s">
        <v>71</v>
      </c>
      <c r="E385" s="30" t="s">
        <v>21</v>
      </c>
      <c r="F385" s="30" t="s">
        <v>78</v>
      </c>
      <c r="G385" s="30" t="s">
        <v>79</v>
      </c>
      <c r="H385" s="30" t="s">
        <v>116</v>
      </c>
      <c r="I385" s="31">
        <v>44713.0</v>
      </c>
      <c r="J385" s="32"/>
      <c r="K385" s="33">
        <v>45809.0</v>
      </c>
      <c r="L385" s="30">
        <v>1.0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29" t="s">
        <v>1067</v>
      </c>
      <c r="B386" s="30" t="s">
        <v>389</v>
      </c>
      <c r="C386" s="30" t="s">
        <v>1068</v>
      </c>
      <c r="D386" s="30" t="s">
        <v>1069</v>
      </c>
      <c r="E386" s="30" t="s">
        <v>21</v>
      </c>
      <c r="F386" s="30" t="s">
        <v>1070</v>
      </c>
      <c r="G386" s="30">
        <v>3.0</v>
      </c>
      <c r="H386" s="30" t="s">
        <v>48</v>
      </c>
      <c r="I386" s="31">
        <v>45078.0</v>
      </c>
      <c r="J386" s="32"/>
      <c r="K386" s="33">
        <v>46174.0</v>
      </c>
      <c r="L386" s="30">
        <v>1.0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29" t="s">
        <v>1071</v>
      </c>
      <c r="B387" s="30" t="s">
        <v>1072</v>
      </c>
      <c r="C387" s="30" t="s">
        <v>1073</v>
      </c>
      <c r="D387" s="30" t="s">
        <v>27</v>
      </c>
      <c r="E387" s="30" t="s">
        <v>21</v>
      </c>
      <c r="F387" s="30" t="s">
        <v>201</v>
      </c>
      <c r="G387" s="30">
        <v>2.0</v>
      </c>
      <c r="H387" s="30" t="s">
        <v>206</v>
      </c>
      <c r="I387" s="31">
        <v>45078.0</v>
      </c>
      <c r="J387" s="32"/>
      <c r="K387" s="33">
        <v>46174.0</v>
      </c>
      <c r="L387" s="30">
        <v>1.0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29" t="s">
        <v>215</v>
      </c>
      <c r="B388" s="30" t="s">
        <v>648</v>
      </c>
      <c r="C388" s="35"/>
      <c r="D388" s="35"/>
      <c r="E388" s="35"/>
      <c r="F388" s="30" t="s">
        <v>213</v>
      </c>
      <c r="G388" s="30" t="s">
        <v>457</v>
      </c>
      <c r="H388" s="30" t="s">
        <v>36</v>
      </c>
      <c r="I388" s="31">
        <v>45444.0</v>
      </c>
      <c r="J388" s="32"/>
      <c r="K388" s="33">
        <v>46539.0</v>
      </c>
      <c r="L388" s="30">
        <v>1.0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29" t="s">
        <v>965</v>
      </c>
      <c r="B389" s="30" t="s">
        <v>340</v>
      </c>
      <c r="C389" s="30" t="s">
        <v>1074</v>
      </c>
      <c r="D389" s="30" t="s">
        <v>46</v>
      </c>
      <c r="E389" s="30" t="s">
        <v>21</v>
      </c>
      <c r="F389" s="30" t="s">
        <v>58</v>
      </c>
      <c r="G389" s="30">
        <v>3.0</v>
      </c>
      <c r="H389" s="30" t="s">
        <v>48</v>
      </c>
      <c r="I389" s="31">
        <v>45078.0</v>
      </c>
      <c r="J389" s="32"/>
      <c r="K389" s="33">
        <v>46174.0</v>
      </c>
      <c r="L389" s="30">
        <v>1.0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29" t="s">
        <v>1075</v>
      </c>
      <c r="B390" s="30" t="s">
        <v>885</v>
      </c>
      <c r="C390" s="30" t="s">
        <v>881</v>
      </c>
      <c r="D390" s="30" t="s">
        <v>329</v>
      </c>
      <c r="E390" s="30" t="s">
        <v>21</v>
      </c>
      <c r="F390" s="30" t="s">
        <v>113</v>
      </c>
      <c r="G390" s="30" t="s">
        <v>85</v>
      </c>
      <c r="H390" s="30" t="s">
        <v>249</v>
      </c>
      <c r="I390" s="31">
        <v>44713.0</v>
      </c>
      <c r="J390" s="32"/>
      <c r="K390" s="33">
        <v>45809.0</v>
      </c>
      <c r="L390" s="30">
        <v>1.0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29" t="s">
        <v>1076</v>
      </c>
      <c r="B391" s="30" t="s">
        <v>855</v>
      </c>
      <c r="C391" s="30" t="s">
        <v>466</v>
      </c>
      <c r="D391" s="30" t="s">
        <v>152</v>
      </c>
      <c r="E391" s="30" t="s">
        <v>21</v>
      </c>
      <c r="F391" s="30" t="s">
        <v>22</v>
      </c>
      <c r="G391" s="30">
        <v>2.0</v>
      </c>
      <c r="H391" s="30" t="s">
        <v>23</v>
      </c>
      <c r="I391" s="31">
        <v>45078.0</v>
      </c>
      <c r="J391" s="32"/>
      <c r="K391" s="33">
        <v>46174.0</v>
      </c>
      <c r="L391" s="30">
        <v>1.0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29" t="s">
        <v>1077</v>
      </c>
      <c r="B392" s="30" t="s">
        <v>1078</v>
      </c>
      <c r="C392" s="30" t="s">
        <v>1079</v>
      </c>
      <c r="D392" s="30" t="s">
        <v>65</v>
      </c>
      <c r="E392" s="30" t="s">
        <v>21</v>
      </c>
      <c r="F392" s="30" t="s">
        <v>58</v>
      </c>
      <c r="G392" s="30">
        <v>1.0</v>
      </c>
      <c r="H392" s="30" t="s">
        <v>23</v>
      </c>
      <c r="I392" s="31">
        <v>45078.0</v>
      </c>
      <c r="J392" s="32"/>
      <c r="K392" s="33">
        <v>46174.0</v>
      </c>
      <c r="L392" s="30">
        <v>1.0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29" t="s">
        <v>1080</v>
      </c>
      <c r="B393" s="30" t="s">
        <v>750</v>
      </c>
      <c r="C393" s="30" t="s">
        <v>1081</v>
      </c>
      <c r="D393" s="30" t="s">
        <v>65</v>
      </c>
      <c r="E393" s="30" t="s">
        <v>21</v>
      </c>
      <c r="F393" s="30" t="s">
        <v>113</v>
      </c>
      <c r="G393" s="30" t="s">
        <v>41</v>
      </c>
      <c r="H393" s="30" t="s">
        <v>318</v>
      </c>
      <c r="I393" s="31">
        <v>44713.0</v>
      </c>
      <c r="J393" s="32"/>
      <c r="K393" s="33">
        <v>45809.0</v>
      </c>
      <c r="L393" s="30">
        <v>1.0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29" t="s">
        <v>1082</v>
      </c>
      <c r="B394" s="30" t="s">
        <v>1083</v>
      </c>
      <c r="C394" s="30" t="s">
        <v>916</v>
      </c>
      <c r="D394" s="30" t="s">
        <v>95</v>
      </c>
      <c r="E394" s="30" t="s">
        <v>21</v>
      </c>
      <c r="F394" s="30" t="s">
        <v>1084</v>
      </c>
      <c r="G394" s="30" t="s">
        <v>29</v>
      </c>
      <c r="H394" s="30" t="s">
        <v>98</v>
      </c>
      <c r="I394" s="31">
        <v>44713.0</v>
      </c>
      <c r="J394" s="31">
        <v>45809.0</v>
      </c>
      <c r="K394" s="33">
        <v>46905.0</v>
      </c>
      <c r="L394" s="30">
        <v>2.0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29" t="s">
        <v>1085</v>
      </c>
      <c r="B395" s="30" t="s">
        <v>60</v>
      </c>
      <c r="C395" s="30" t="s">
        <v>1086</v>
      </c>
      <c r="D395" s="30" t="s">
        <v>185</v>
      </c>
      <c r="E395" s="30" t="s">
        <v>21</v>
      </c>
      <c r="F395" s="30" t="s">
        <v>231</v>
      </c>
      <c r="G395" s="30" t="s">
        <v>391</v>
      </c>
      <c r="H395" s="30" t="s">
        <v>36</v>
      </c>
      <c r="I395" s="31">
        <v>45444.0</v>
      </c>
      <c r="J395" s="31">
        <v>46539.0</v>
      </c>
      <c r="K395" s="33">
        <v>47635.0</v>
      </c>
      <c r="L395" s="30">
        <v>2.0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29" t="s">
        <v>1087</v>
      </c>
      <c r="B396" s="30" t="s">
        <v>1088</v>
      </c>
      <c r="C396" s="35"/>
      <c r="D396" s="30" t="s">
        <v>305</v>
      </c>
      <c r="E396" s="30" t="s">
        <v>1089</v>
      </c>
      <c r="F396" s="30" t="s">
        <v>995</v>
      </c>
      <c r="G396" s="30" t="s">
        <v>91</v>
      </c>
      <c r="H396" s="30" t="s">
        <v>30</v>
      </c>
      <c r="I396" s="31">
        <v>43132.0</v>
      </c>
      <c r="J396" s="32"/>
      <c r="K396" s="33">
        <v>47635.0</v>
      </c>
      <c r="L396" s="30">
        <v>1.0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29" t="s">
        <v>1090</v>
      </c>
      <c r="B397" s="30" t="s">
        <v>1091</v>
      </c>
      <c r="C397" s="30" t="s">
        <v>926</v>
      </c>
      <c r="D397" s="30" t="s">
        <v>65</v>
      </c>
      <c r="E397" s="30" t="s">
        <v>21</v>
      </c>
      <c r="F397" s="30" t="s">
        <v>243</v>
      </c>
      <c r="G397" s="30">
        <v>2.0</v>
      </c>
      <c r="H397" s="30" t="s">
        <v>271</v>
      </c>
      <c r="I397" s="31">
        <v>45078.0</v>
      </c>
      <c r="J397" s="32"/>
      <c r="K397" s="33">
        <v>46174.0</v>
      </c>
      <c r="L397" s="30">
        <v>1.0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29" t="s">
        <v>1092</v>
      </c>
      <c r="B398" s="30" t="s">
        <v>1030</v>
      </c>
      <c r="C398" s="30" t="s">
        <v>1093</v>
      </c>
      <c r="D398" s="30" t="s">
        <v>146</v>
      </c>
      <c r="E398" s="30" t="s">
        <v>21</v>
      </c>
      <c r="F398" s="30" t="s">
        <v>289</v>
      </c>
      <c r="G398" s="30" t="s">
        <v>79</v>
      </c>
      <c r="H398" s="30" t="s">
        <v>133</v>
      </c>
      <c r="I398" s="31">
        <v>44713.0</v>
      </c>
      <c r="J398" s="32"/>
      <c r="K398" s="33">
        <v>45809.0</v>
      </c>
      <c r="L398" s="30">
        <v>1.0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29" t="s">
        <v>1094</v>
      </c>
      <c r="B399" s="30" t="s">
        <v>502</v>
      </c>
      <c r="C399" s="30" t="s">
        <v>571</v>
      </c>
      <c r="D399" s="30" t="s">
        <v>20</v>
      </c>
      <c r="E399" s="30" t="s">
        <v>21</v>
      </c>
      <c r="F399" s="30" t="s">
        <v>351</v>
      </c>
      <c r="G399" s="30">
        <v>1.0</v>
      </c>
      <c r="H399" s="30" t="s">
        <v>23</v>
      </c>
      <c r="I399" s="31">
        <v>45078.0</v>
      </c>
      <c r="J399" s="32"/>
      <c r="K399" s="33">
        <v>46174.0</v>
      </c>
      <c r="L399" s="30">
        <v>1.0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29" t="s">
        <v>1095</v>
      </c>
      <c r="B400" s="30" t="s">
        <v>678</v>
      </c>
      <c r="C400" s="30" t="s">
        <v>881</v>
      </c>
      <c r="D400" s="30" t="s">
        <v>329</v>
      </c>
      <c r="E400" s="30" t="s">
        <v>21</v>
      </c>
      <c r="F400" s="30" t="s">
        <v>78</v>
      </c>
      <c r="G400" s="30" t="s">
        <v>85</v>
      </c>
      <c r="H400" s="30" t="s">
        <v>249</v>
      </c>
      <c r="I400" s="31">
        <v>44713.0</v>
      </c>
      <c r="J400" s="32"/>
      <c r="K400" s="33">
        <v>45809.0</v>
      </c>
      <c r="L400" s="30">
        <v>1.0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29" t="s">
        <v>1096</v>
      </c>
      <c r="B401" s="30" t="s">
        <v>281</v>
      </c>
      <c r="C401" s="30" t="s">
        <v>1097</v>
      </c>
      <c r="D401" s="30" t="s">
        <v>84</v>
      </c>
      <c r="E401" s="30" t="s">
        <v>21</v>
      </c>
      <c r="F401" s="30" t="s">
        <v>673</v>
      </c>
      <c r="G401" s="30" t="s">
        <v>85</v>
      </c>
      <c r="H401" s="30" t="s">
        <v>98</v>
      </c>
      <c r="I401" s="31">
        <v>44713.0</v>
      </c>
      <c r="J401" s="32"/>
      <c r="K401" s="33">
        <v>45809.0</v>
      </c>
      <c r="L401" s="30">
        <v>1.0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29" t="s">
        <v>1098</v>
      </c>
      <c r="B402" s="30" t="s">
        <v>750</v>
      </c>
      <c r="C402" s="30" t="s">
        <v>1099</v>
      </c>
      <c r="D402" s="30" t="s">
        <v>107</v>
      </c>
      <c r="E402" s="30" t="s">
        <v>21</v>
      </c>
      <c r="F402" s="30" t="s">
        <v>387</v>
      </c>
      <c r="G402" s="30" t="s">
        <v>91</v>
      </c>
      <c r="H402" s="30" t="s">
        <v>36</v>
      </c>
      <c r="I402" s="31">
        <v>45078.0</v>
      </c>
      <c r="J402" s="31">
        <v>46539.0</v>
      </c>
      <c r="K402" s="33">
        <v>47635.0</v>
      </c>
      <c r="L402" s="30">
        <v>2.0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29" t="s">
        <v>1100</v>
      </c>
      <c r="B403" s="30" t="s">
        <v>1101</v>
      </c>
      <c r="C403" s="30" t="s">
        <v>1102</v>
      </c>
      <c r="D403" s="30" t="s">
        <v>107</v>
      </c>
      <c r="E403" s="30" t="s">
        <v>21</v>
      </c>
      <c r="F403" s="30" t="s">
        <v>267</v>
      </c>
      <c r="G403" s="35"/>
      <c r="H403" s="30" t="s">
        <v>30</v>
      </c>
      <c r="I403" s="31">
        <v>36892.0</v>
      </c>
      <c r="J403" s="32"/>
      <c r="K403" s="33">
        <v>47635.0</v>
      </c>
      <c r="L403" s="30">
        <v>1.0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41" t="s">
        <v>1103</v>
      </c>
      <c r="B404" s="42" t="s">
        <v>1104</v>
      </c>
      <c r="C404" s="43"/>
      <c r="D404" s="43"/>
      <c r="E404" s="43"/>
      <c r="F404" s="42" t="s">
        <v>119</v>
      </c>
      <c r="G404" s="43"/>
      <c r="H404" s="43"/>
      <c r="I404" s="44">
        <v>45444.0</v>
      </c>
      <c r="J404" s="44">
        <v>46539.0</v>
      </c>
      <c r="K404" s="45">
        <v>47635.0</v>
      </c>
      <c r="L404" s="46">
        <v>2.0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29" t="s">
        <v>1105</v>
      </c>
      <c r="B405" s="30" t="s">
        <v>1106</v>
      </c>
      <c r="C405" s="30" t="s">
        <v>1107</v>
      </c>
      <c r="D405" s="30" t="s">
        <v>20</v>
      </c>
      <c r="E405" s="30" t="s">
        <v>21</v>
      </c>
      <c r="F405" s="30" t="s">
        <v>78</v>
      </c>
      <c r="G405" s="30" t="s">
        <v>85</v>
      </c>
      <c r="H405" s="30" t="s">
        <v>42</v>
      </c>
      <c r="I405" s="31">
        <v>44713.0</v>
      </c>
      <c r="J405" s="32"/>
      <c r="K405" s="33">
        <v>45809.0</v>
      </c>
      <c r="L405" s="30">
        <v>1.0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29" t="s">
        <v>1108</v>
      </c>
      <c r="B406" s="30" t="s">
        <v>309</v>
      </c>
      <c r="C406" s="30" t="s">
        <v>1109</v>
      </c>
      <c r="D406" s="30" t="s">
        <v>46</v>
      </c>
      <c r="E406" s="30" t="s">
        <v>21</v>
      </c>
      <c r="F406" s="30" t="s">
        <v>720</v>
      </c>
      <c r="G406" s="30" t="s">
        <v>35</v>
      </c>
      <c r="H406" s="30" t="s">
        <v>36</v>
      </c>
      <c r="I406" s="31">
        <v>45078.0</v>
      </c>
      <c r="J406" s="31">
        <v>46539.0</v>
      </c>
      <c r="K406" s="33">
        <v>47635.0</v>
      </c>
      <c r="L406" s="30">
        <v>2.0</v>
      </c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29" t="s">
        <v>1110</v>
      </c>
      <c r="B407" s="30" t="s">
        <v>750</v>
      </c>
      <c r="C407" s="30" t="s">
        <v>1111</v>
      </c>
      <c r="D407" s="30" t="s">
        <v>275</v>
      </c>
      <c r="E407" s="30" t="s">
        <v>21</v>
      </c>
      <c r="F407" s="30" t="s">
        <v>729</v>
      </c>
      <c r="G407" s="34">
        <v>45355.0</v>
      </c>
      <c r="H407" s="30" t="s">
        <v>48</v>
      </c>
      <c r="I407" s="31">
        <v>45078.0</v>
      </c>
      <c r="J407" s="31">
        <v>46174.0</v>
      </c>
      <c r="K407" s="33">
        <v>47270.0</v>
      </c>
      <c r="L407" s="30">
        <v>2.0</v>
      </c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29" t="s">
        <v>1112</v>
      </c>
      <c r="B408" s="30" t="s">
        <v>750</v>
      </c>
      <c r="C408" s="30" t="s">
        <v>879</v>
      </c>
      <c r="D408" s="30" t="s">
        <v>57</v>
      </c>
      <c r="E408" s="30" t="s">
        <v>21</v>
      </c>
      <c r="F408" s="30" t="s">
        <v>78</v>
      </c>
      <c r="G408" s="30" t="s">
        <v>85</v>
      </c>
      <c r="H408" s="30" t="s">
        <v>80</v>
      </c>
      <c r="I408" s="31">
        <v>44713.0</v>
      </c>
      <c r="J408" s="32"/>
      <c r="K408" s="33">
        <v>45809.0</v>
      </c>
      <c r="L408" s="30">
        <v>1.0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47" t="s">
        <v>1113</v>
      </c>
      <c r="B409" s="48" t="s">
        <v>678</v>
      </c>
      <c r="C409" s="48" t="s">
        <v>1114</v>
      </c>
      <c r="D409" s="48" t="s">
        <v>95</v>
      </c>
      <c r="E409" s="30" t="s">
        <v>21</v>
      </c>
      <c r="F409" s="49" t="s">
        <v>1115</v>
      </c>
      <c r="G409" s="49" t="s">
        <v>41</v>
      </c>
      <c r="H409" s="49" t="s">
        <v>337</v>
      </c>
      <c r="I409" s="31">
        <v>45444.0</v>
      </c>
      <c r="J409" s="32"/>
      <c r="K409" s="33">
        <v>46539.0</v>
      </c>
      <c r="L409" s="30">
        <v>1.0</v>
      </c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29" t="s">
        <v>1116</v>
      </c>
      <c r="B410" s="30" t="s">
        <v>678</v>
      </c>
      <c r="C410" s="30" t="s">
        <v>1117</v>
      </c>
      <c r="D410" s="30" t="s">
        <v>71</v>
      </c>
      <c r="E410" s="30" t="s">
        <v>21</v>
      </c>
      <c r="F410" s="30" t="s">
        <v>113</v>
      </c>
      <c r="G410" s="30" t="s">
        <v>41</v>
      </c>
      <c r="H410" s="30" t="s">
        <v>116</v>
      </c>
      <c r="I410" s="31">
        <v>44713.0</v>
      </c>
      <c r="J410" s="32"/>
      <c r="K410" s="33">
        <v>45809.0</v>
      </c>
      <c r="L410" s="30">
        <v>1.0</v>
      </c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29" t="s">
        <v>1118</v>
      </c>
      <c r="B411" s="30" t="s">
        <v>578</v>
      </c>
      <c r="C411" s="30" t="s">
        <v>1119</v>
      </c>
      <c r="D411" s="30" t="s">
        <v>46</v>
      </c>
      <c r="E411" s="30" t="s">
        <v>21</v>
      </c>
      <c r="F411" s="30" t="s">
        <v>1120</v>
      </c>
      <c r="G411" s="30" t="s">
        <v>97</v>
      </c>
      <c r="H411" s="30" t="s">
        <v>98</v>
      </c>
      <c r="I411" s="31">
        <v>44713.0</v>
      </c>
      <c r="J411" s="32"/>
      <c r="K411" s="33">
        <v>45809.0</v>
      </c>
      <c r="L411" s="30">
        <v>1.0</v>
      </c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29" t="s">
        <v>1121</v>
      </c>
      <c r="B412" s="30" t="s">
        <v>1122</v>
      </c>
      <c r="C412" s="35"/>
      <c r="D412" s="30" t="s">
        <v>305</v>
      </c>
      <c r="E412" s="30" t="s">
        <v>644</v>
      </c>
      <c r="F412" s="30" t="s">
        <v>387</v>
      </c>
      <c r="G412" s="30" t="s">
        <v>35</v>
      </c>
      <c r="H412" s="30" t="s">
        <v>36</v>
      </c>
      <c r="I412" s="31">
        <v>42828.0</v>
      </c>
      <c r="J412" s="31">
        <v>46539.0</v>
      </c>
      <c r="K412" s="33">
        <v>47635.0</v>
      </c>
      <c r="L412" s="30">
        <v>2.0</v>
      </c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29" t="s">
        <v>1123</v>
      </c>
      <c r="B413" s="30" t="s">
        <v>1124</v>
      </c>
      <c r="C413" s="30" t="s">
        <v>1125</v>
      </c>
      <c r="D413" s="30" t="s">
        <v>57</v>
      </c>
      <c r="E413" s="30" t="s">
        <v>21</v>
      </c>
      <c r="F413" s="30" t="s">
        <v>78</v>
      </c>
      <c r="G413" s="30" t="s">
        <v>79</v>
      </c>
      <c r="H413" s="30" t="s">
        <v>1058</v>
      </c>
      <c r="I413" s="31">
        <v>45444.0</v>
      </c>
      <c r="J413" s="32"/>
      <c r="K413" s="33">
        <v>46539.0</v>
      </c>
      <c r="L413" s="30">
        <v>1.0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29" t="s">
        <v>1126</v>
      </c>
      <c r="B414" s="30" t="s">
        <v>1127</v>
      </c>
      <c r="C414" s="30" t="s">
        <v>1036</v>
      </c>
      <c r="D414" s="30" t="s">
        <v>305</v>
      </c>
      <c r="E414" s="30" t="s">
        <v>1036</v>
      </c>
      <c r="F414" s="30" t="s">
        <v>1128</v>
      </c>
      <c r="G414" s="30" t="s">
        <v>29</v>
      </c>
      <c r="H414" s="30" t="s">
        <v>30</v>
      </c>
      <c r="I414" s="31">
        <v>36892.0</v>
      </c>
      <c r="J414" s="32"/>
      <c r="K414" s="33">
        <v>47635.0</v>
      </c>
      <c r="L414" s="30">
        <v>1.0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29" t="s">
        <v>1129</v>
      </c>
      <c r="B415" s="30" t="s">
        <v>327</v>
      </c>
      <c r="C415" s="30" t="s">
        <v>1130</v>
      </c>
      <c r="D415" s="30" t="s">
        <v>137</v>
      </c>
      <c r="E415" s="30" t="s">
        <v>21</v>
      </c>
      <c r="F415" s="42" t="s">
        <v>143</v>
      </c>
      <c r="G415" s="43"/>
      <c r="H415" s="43"/>
      <c r="I415" s="44">
        <v>45444.0</v>
      </c>
      <c r="J415" s="44">
        <v>46539.0</v>
      </c>
      <c r="K415" s="45">
        <v>47635.0</v>
      </c>
      <c r="L415" s="46">
        <v>2.0</v>
      </c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29" t="s">
        <v>1131</v>
      </c>
      <c r="B416" s="30" t="s">
        <v>1132</v>
      </c>
      <c r="C416" s="30" t="s">
        <v>1133</v>
      </c>
      <c r="D416" s="30" t="s">
        <v>84</v>
      </c>
      <c r="E416" s="30" t="s">
        <v>21</v>
      </c>
      <c r="F416" s="35"/>
      <c r="G416" s="35"/>
      <c r="H416" s="30" t="s">
        <v>30</v>
      </c>
      <c r="I416" s="31">
        <v>41640.0</v>
      </c>
      <c r="J416" s="32"/>
      <c r="K416" s="33">
        <v>47635.0</v>
      </c>
      <c r="L416" s="30">
        <v>1.0</v>
      </c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29" t="s">
        <v>1134</v>
      </c>
      <c r="B417" s="30" t="s">
        <v>242</v>
      </c>
      <c r="C417" s="30" t="s">
        <v>1135</v>
      </c>
      <c r="D417" s="30" t="s">
        <v>851</v>
      </c>
      <c r="E417" s="30" t="s">
        <v>21</v>
      </c>
      <c r="F417" s="30" t="s">
        <v>78</v>
      </c>
      <c r="G417" s="30" t="s">
        <v>41</v>
      </c>
      <c r="H417" s="30" t="s">
        <v>86</v>
      </c>
      <c r="I417" s="31">
        <v>44713.0</v>
      </c>
      <c r="J417" s="32"/>
      <c r="K417" s="33">
        <v>45809.0</v>
      </c>
      <c r="L417" s="30">
        <v>1.0</v>
      </c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29" t="s">
        <v>1136</v>
      </c>
      <c r="B418" s="30" t="s">
        <v>1137</v>
      </c>
      <c r="C418" s="30" t="s">
        <v>1138</v>
      </c>
      <c r="D418" s="30" t="s">
        <v>430</v>
      </c>
      <c r="E418" s="30" t="s">
        <v>21</v>
      </c>
      <c r="F418" s="30" t="s">
        <v>248</v>
      </c>
      <c r="G418" s="30" t="s">
        <v>79</v>
      </c>
      <c r="H418" s="30" t="s">
        <v>133</v>
      </c>
      <c r="I418" s="31">
        <v>44713.0</v>
      </c>
      <c r="J418" s="32"/>
      <c r="K418" s="33">
        <v>45809.0</v>
      </c>
      <c r="L418" s="30">
        <v>1.0</v>
      </c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29" t="s">
        <v>1139</v>
      </c>
      <c r="B419" s="30" t="s">
        <v>1140</v>
      </c>
      <c r="C419" s="30" t="s">
        <v>1141</v>
      </c>
      <c r="D419" s="30" t="s">
        <v>46</v>
      </c>
      <c r="E419" s="30" t="s">
        <v>21</v>
      </c>
      <c r="F419" s="30" t="s">
        <v>530</v>
      </c>
      <c r="G419" s="30" t="s">
        <v>29</v>
      </c>
      <c r="H419" s="30" t="s">
        <v>30</v>
      </c>
      <c r="I419" s="31">
        <v>42522.0</v>
      </c>
      <c r="J419" s="32"/>
      <c r="K419" s="33">
        <v>47635.0</v>
      </c>
      <c r="L419" s="30">
        <v>2.0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29" t="s">
        <v>1142</v>
      </c>
      <c r="B420" s="30" t="s">
        <v>296</v>
      </c>
      <c r="C420" s="30" t="s">
        <v>1143</v>
      </c>
      <c r="D420" s="30" t="s">
        <v>46</v>
      </c>
      <c r="E420" s="30" t="s">
        <v>21</v>
      </c>
      <c r="F420" s="30" t="s">
        <v>401</v>
      </c>
      <c r="G420" s="30" t="s">
        <v>91</v>
      </c>
      <c r="H420" s="30" t="s">
        <v>36</v>
      </c>
      <c r="I420" s="31">
        <v>45078.0</v>
      </c>
      <c r="J420" s="31">
        <v>46539.0</v>
      </c>
      <c r="K420" s="33">
        <v>47635.0</v>
      </c>
      <c r="L420" s="30">
        <v>2.0</v>
      </c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29" t="s">
        <v>1142</v>
      </c>
      <c r="B421" s="30" t="s">
        <v>606</v>
      </c>
      <c r="C421" s="30" t="s">
        <v>1144</v>
      </c>
      <c r="D421" s="30" t="s">
        <v>163</v>
      </c>
      <c r="E421" s="30" t="s">
        <v>21</v>
      </c>
      <c r="F421" s="30" t="s">
        <v>58</v>
      </c>
      <c r="G421" s="30">
        <v>3.0</v>
      </c>
      <c r="H421" s="30" t="s">
        <v>224</v>
      </c>
      <c r="I421" s="31">
        <v>45078.0</v>
      </c>
      <c r="J421" s="32"/>
      <c r="K421" s="33">
        <v>46174.0</v>
      </c>
      <c r="L421" s="30">
        <v>1.0</v>
      </c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29" t="s">
        <v>1145</v>
      </c>
      <c r="B422" s="30" t="s">
        <v>1146</v>
      </c>
      <c r="C422" s="35"/>
      <c r="D422" s="35"/>
      <c r="E422" s="35"/>
      <c r="F422" s="30" t="s">
        <v>213</v>
      </c>
      <c r="G422" s="30" t="s">
        <v>35</v>
      </c>
      <c r="H422" s="30" t="s">
        <v>36</v>
      </c>
      <c r="I422" s="31">
        <v>45444.0</v>
      </c>
      <c r="J422" s="32"/>
      <c r="K422" s="33">
        <v>46539.0</v>
      </c>
      <c r="L422" s="30">
        <v>1.0</v>
      </c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29" t="s">
        <v>1147</v>
      </c>
      <c r="B423" s="30" t="s">
        <v>82</v>
      </c>
      <c r="C423" s="30" t="s">
        <v>1148</v>
      </c>
      <c r="D423" s="30" t="s">
        <v>71</v>
      </c>
      <c r="E423" s="30" t="s">
        <v>21</v>
      </c>
      <c r="F423" s="30" t="s">
        <v>248</v>
      </c>
      <c r="G423" s="30" t="s">
        <v>79</v>
      </c>
      <c r="H423" s="30" t="s">
        <v>116</v>
      </c>
      <c r="I423" s="31">
        <v>44713.0</v>
      </c>
      <c r="J423" s="32"/>
      <c r="K423" s="33">
        <v>45809.0</v>
      </c>
      <c r="L423" s="30">
        <v>1.0</v>
      </c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29" t="s">
        <v>1149</v>
      </c>
      <c r="B424" s="30" t="s">
        <v>414</v>
      </c>
      <c r="C424" s="30" t="s">
        <v>1150</v>
      </c>
      <c r="D424" s="30" t="s">
        <v>266</v>
      </c>
      <c r="E424" s="30" t="s">
        <v>21</v>
      </c>
      <c r="F424" s="30" t="s">
        <v>243</v>
      </c>
      <c r="G424" s="30">
        <v>3.0</v>
      </c>
      <c r="H424" s="30" t="s">
        <v>279</v>
      </c>
      <c r="I424" s="31">
        <v>45078.0</v>
      </c>
      <c r="J424" s="32"/>
      <c r="K424" s="33">
        <v>46174.0</v>
      </c>
      <c r="L424" s="30">
        <v>1.0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29" t="s">
        <v>1151</v>
      </c>
      <c r="B425" s="30" t="s">
        <v>855</v>
      </c>
      <c r="C425" s="30" t="s">
        <v>1152</v>
      </c>
      <c r="D425" s="30" t="s">
        <v>137</v>
      </c>
      <c r="E425" s="30" t="s">
        <v>21</v>
      </c>
      <c r="F425" s="30" t="s">
        <v>58</v>
      </c>
      <c r="G425" s="30">
        <v>3.0</v>
      </c>
      <c r="H425" s="30" t="s">
        <v>206</v>
      </c>
      <c r="I425" s="31">
        <v>45078.0</v>
      </c>
      <c r="J425" s="32"/>
      <c r="K425" s="33">
        <v>46174.0</v>
      </c>
      <c r="L425" s="30">
        <v>1.0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29" t="s">
        <v>1153</v>
      </c>
      <c r="B426" s="30" t="s">
        <v>502</v>
      </c>
      <c r="C426" s="30" t="s">
        <v>1154</v>
      </c>
      <c r="D426" s="30" t="s">
        <v>20</v>
      </c>
      <c r="E426" s="30" t="s">
        <v>21</v>
      </c>
      <c r="F426" s="30" t="s">
        <v>47</v>
      </c>
      <c r="G426" s="30">
        <v>2.0</v>
      </c>
      <c r="H426" s="30" t="s">
        <v>202</v>
      </c>
      <c r="I426" s="31">
        <v>45078.0</v>
      </c>
      <c r="J426" s="32"/>
      <c r="K426" s="33">
        <v>46174.0</v>
      </c>
      <c r="L426" s="30">
        <v>1.0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29" t="s">
        <v>1155</v>
      </c>
      <c r="B427" s="30" t="s">
        <v>365</v>
      </c>
      <c r="C427" s="30" t="s">
        <v>1156</v>
      </c>
      <c r="D427" s="30" t="s">
        <v>128</v>
      </c>
      <c r="E427" s="30" t="s">
        <v>21</v>
      </c>
      <c r="F427" s="30" t="s">
        <v>248</v>
      </c>
      <c r="G427" s="30" t="s">
        <v>85</v>
      </c>
      <c r="H427" s="30" t="s">
        <v>249</v>
      </c>
      <c r="I427" s="31">
        <v>44713.0</v>
      </c>
      <c r="J427" s="32"/>
      <c r="K427" s="33">
        <v>45809.0</v>
      </c>
      <c r="L427" s="30">
        <v>1.0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29" t="s">
        <v>1157</v>
      </c>
      <c r="B428" s="30" t="s">
        <v>502</v>
      </c>
      <c r="C428" s="30" t="s">
        <v>1158</v>
      </c>
      <c r="D428" s="30" t="s">
        <v>20</v>
      </c>
      <c r="E428" s="30" t="s">
        <v>21</v>
      </c>
      <c r="F428" s="30" t="s">
        <v>40</v>
      </c>
      <c r="G428" s="30" t="s">
        <v>41</v>
      </c>
      <c r="H428" s="30" t="s">
        <v>285</v>
      </c>
      <c r="I428" s="31">
        <v>44713.0</v>
      </c>
      <c r="J428" s="32"/>
      <c r="K428" s="33">
        <v>45809.0</v>
      </c>
      <c r="L428" s="30">
        <v>1.0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29" t="s">
        <v>1159</v>
      </c>
      <c r="B429" s="30" t="s">
        <v>1146</v>
      </c>
      <c r="C429" s="30" t="s">
        <v>1160</v>
      </c>
      <c r="D429" s="30" t="s">
        <v>107</v>
      </c>
      <c r="E429" s="30" t="s">
        <v>21</v>
      </c>
      <c r="F429" s="30" t="s">
        <v>267</v>
      </c>
      <c r="G429" s="35"/>
      <c r="H429" s="30" t="s">
        <v>30</v>
      </c>
      <c r="I429" s="31">
        <v>36892.0</v>
      </c>
      <c r="J429" s="32"/>
      <c r="K429" s="33">
        <v>47635.0</v>
      </c>
      <c r="L429" s="30">
        <v>1.0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29" t="s">
        <v>1161</v>
      </c>
      <c r="B430" s="30" t="s">
        <v>1162</v>
      </c>
      <c r="C430" s="30" t="s">
        <v>700</v>
      </c>
      <c r="D430" s="35"/>
      <c r="E430" s="30" t="s">
        <v>701</v>
      </c>
      <c r="F430" s="30" t="s">
        <v>702</v>
      </c>
      <c r="G430" s="30">
        <v>4.0</v>
      </c>
      <c r="H430" s="30" t="s">
        <v>48</v>
      </c>
      <c r="I430" s="31">
        <v>45078.0</v>
      </c>
      <c r="J430" s="31">
        <v>46174.0</v>
      </c>
      <c r="K430" s="33">
        <v>47270.0</v>
      </c>
      <c r="L430" s="30">
        <v>2.0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29" t="s">
        <v>1163</v>
      </c>
      <c r="B431" s="30" t="s">
        <v>1164</v>
      </c>
      <c r="C431" s="30" t="s">
        <v>1165</v>
      </c>
      <c r="D431" s="30" t="s">
        <v>20</v>
      </c>
      <c r="E431" s="30" t="s">
        <v>21</v>
      </c>
      <c r="F431" s="30" t="s">
        <v>248</v>
      </c>
      <c r="G431" s="30" t="s">
        <v>85</v>
      </c>
      <c r="H431" s="30" t="s">
        <v>42</v>
      </c>
      <c r="I431" s="31">
        <v>44713.0</v>
      </c>
      <c r="J431" s="32"/>
      <c r="K431" s="33">
        <v>45809.0</v>
      </c>
      <c r="L431" s="30">
        <v>1.0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29" t="s">
        <v>1163</v>
      </c>
      <c r="B432" s="30" t="s">
        <v>1166</v>
      </c>
      <c r="C432" s="30" t="s">
        <v>1165</v>
      </c>
      <c r="D432" s="30" t="s">
        <v>20</v>
      </c>
      <c r="E432" s="30" t="s">
        <v>21</v>
      </c>
      <c r="F432" s="30" t="s">
        <v>491</v>
      </c>
      <c r="G432" s="30" t="s">
        <v>41</v>
      </c>
      <c r="H432" s="30" t="s">
        <v>42</v>
      </c>
      <c r="I432" s="31">
        <v>44713.0</v>
      </c>
      <c r="J432" s="32"/>
      <c r="K432" s="33">
        <v>45809.0</v>
      </c>
      <c r="L432" s="30">
        <v>1.0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29" t="s">
        <v>1167</v>
      </c>
      <c r="B433" s="30" t="s">
        <v>1168</v>
      </c>
      <c r="C433" s="35"/>
      <c r="D433" s="30" t="s">
        <v>305</v>
      </c>
      <c r="E433" s="30" t="s">
        <v>585</v>
      </c>
      <c r="F433" s="30" t="s">
        <v>267</v>
      </c>
      <c r="G433" s="35"/>
      <c r="H433" s="30" t="s">
        <v>30</v>
      </c>
      <c r="I433" s="31">
        <v>36892.0</v>
      </c>
      <c r="J433" s="32"/>
      <c r="K433" s="33">
        <v>47635.0</v>
      </c>
      <c r="L433" s="30">
        <v>1.0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29" t="s">
        <v>1169</v>
      </c>
      <c r="B434" s="30" t="s">
        <v>435</v>
      </c>
      <c r="C434" s="30" t="s">
        <v>1170</v>
      </c>
      <c r="D434" s="30" t="s">
        <v>163</v>
      </c>
      <c r="E434" s="30" t="s">
        <v>21</v>
      </c>
      <c r="F434" s="30" t="s">
        <v>530</v>
      </c>
      <c r="G434" s="30" t="s">
        <v>79</v>
      </c>
      <c r="H434" s="30" t="s">
        <v>337</v>
      </c>
      <c r="I434" s="31">
        <v>45444.0</v>
      </c>
      <c r="J434" s="31">
        <v>46174.0</v>
      </c>
      <c r="K434" s="33">
        <v>47270.0</v>
      </c>
      <c r="L434" s="30">
        <v>2.0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29" t="s">
        <v>414</v>
      </c>
      <c r="B435" s="30" t="s">
        <v>131</v>
      </c>
      <c r="C435" s="30" t="s">
        <v>1171</v>
      </c>
      <c r="D435" s="30" t="s">
        <v>102</v>
      </c>
      <c r="E435" s="30" t="s">
        <v>21</v>
      </c>
      <c r="F435" s="30" t="s">
        <v>58</v>
      </c>
      <c r="G435" s="30">
        <v>4.0</v>
      </c>
      <c r="H435" s="30" t="s">
        <v>48</v>
      </c>
      <c r="I435" s="31">
        <v>45078.0</v>
      </c>
      <c r="J435" s="32"/>
      <c r="K435" s="33">
        <v>46174.0</v>
      </c>
      <c r="L435" s="30">
        <v>1.0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29" t="s">
        <v>1172</v>
      </c>
      <c r="B436" s="30" t="s">
        <v>612</v>
      </c>
      <c r="C436" s="30" t="s">
        <v>1173</v>
      </c>
      <c r="D436" s="30" t="s">
        <v>95</v>
      </c>
      <c r="E436" s="30" t="s">
        <v>21</v>
      </c>
      <c r="F436" s="30" t="s">
        <v>387</v>
      </c>
      <c r="G436" s="30" t="s">
        <v>391</v>
      </c>
      <c r="H436" s="30" t="s">
        <v>36</v>
      </c>
      <c r="I436" s="31">
        <v>44713.0</v>
      </c>
      <c r="J436" s="31">
        <v>46539.0</v>
      </c>
      <c r="K436" s="33">
        <v>47635.0</v>
      </c>
      <c r="L436" s="30">
        <v>2.0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29" t="s">
        <v>1174</v>
      </c>
      <c r="B437" s="30" t="s">
        <v>1175</v>
      </c>
      <c r="C437" s="30" t="s">
        <v>1176</v>
      </c>
      <c r="D437" s="30" t="s">
        <v>275</v>
      </c>
      <c r="E437" s="30" t="s">
        <v>21</v>
      </c>
      <c r="F437" s="30" t="s">
        <v>729</v>
      </c>
      <c r="G437" s="30">
        <v>1.0</v>
      </c>
      <c r="H437" s="30" t="s">
        <v>48</v>
      </c>
      <c r="I437" s="31">
        <v>45078.0</v>
      </c>
      <c r="J437" s="31">
        <v>46174.0</v>
      </c>
      <c r="K437" s="33">
        <v>47270.0</v>
      </c>
      <c r="L437" s="30">
        <v>2.0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29" t="s">
        <v>1177</v>
      </c>
      <c r="B438" s="30" t="s">
        <v>183</v>
      </c>
      <c r="C438" s="30" t="s">
        <v>1025</v>
      </c>
      <c r="D438" s="30" t="s">
        <v>46</v>
      </c>
      <c r="E438" s="30" t="s">
        <v>21</v>
      </c>
      <c r="F438" s="30" t="s">
        <v>720</v>
      </c>
      <c r="G438" s="30" t="s">
        <v>391</v>
      </c>
      <c r="H438" s="30" t="s">
        <v>36</v>
      </c>
      <c r="I438" s="31">
        <v>44713.0</v>
      </c>
      <c r="J438" s="31">
        <v>46539.0</v>
      </c>
      <c r="K438" s="33">
        <v>47635.0</v>
      </c>
      <c r="L438" s="30">
        <v>2.0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29" t="s">
        <v>1178</v>
      </c>
      <c r="B439" s="30" t="s">
        <v>100</v>
      </c>
      <c r="C439" s="35"/>
      <c r="D439" s="35"/>
      <c r="E439" s="35"/>
      <c r="F439" s="30" t="s">
        <v>66</v>
      </c>
      <c r="G439" s="30" t="s">
        <v>391</v>
      </c>
      <c r="H439" s="30" t="s">
        <v>36</v>
      </c>
      <c r="I439" s="31">
        <v>45444.0</v>
      </c>
      <c r="J439" s="32"/>
      <c r="K439" s="33">
        <v>46539.0</v>
      </c>
      <c r="L439" s="30">
        <v>1.0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29" t="s">
        <v>1179</v>
      </c>
      <c r="B440" s="30" t="s">
        <v>1180</v>
      </c>
      <c r="C440" s="30" t="s">
        <v>1181</v>
      </c>
      <c r="D440" s="30" t="s">
        <v>27</v>
      </c>
      <c r="E440" s="30" t="s">
        <v>21</v>
      </c>
      <c r="F440" s="30" t="s">
        <v>491</v>
      </c>
      <c r="G440" s="30" t="s">
        <v>79</v>
      </c>
      <c r="H440" s="30" t="s">
        <v>285</v>
      </c>
      <c r="I440" s="31">
        <v>44713.0</v>
      </c>
      <c r="J440" s="32"/>
      <c r="K440" s="33">
        <v>45809.0</v>
      </c>
      <c r="L440" s="30">
        <v>1.0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47" t="s">
        <v>1182</v>
      </c>
      <c r="B441" s="48" t="s">
        <v>1183</v>
      </c>
      <c r="C441" s="48" t="s">
        <v>1184</v>
      </c>
      <c r="D441" s="48" t="s">
        <v>107</v>
      </c>
      <c r="E441" s="30" t="s">
        <v>21</v>
      </c>
      <c r="F441" s="49" t="s">
        <v>336</v>
      </c>
      <c r="G441" s="49" t="s">
        <v>85</v>
      </c>
      <c r="H441" s="49" t="s">
        <v>924</v>
      </c>
      <c r="I441" s="31">
        <v>45444.0</v>
      </c>
      <c r="J441" s="32"/>
      <c r="K441" s="33">
        <v>46539.0</v>
      </c>
      <c r="L441" s="30">
        <v>1.0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29" t="s">
        <v>1185</v>
      </c>
      <c r="B442" s="30" t="s">
        <v>1106</v>
      </c>
      <c r="C442" s="30" t="s">
        <v>1186</v>
      </c>
      <c r="D442" s="30" t="s">
        <v>521</v>
      </c>
      <c r="E442" s="30" t="s">
        <v>21</v>
      </c>
      <c r="F442" s="30" t="s">
        <v>58</v>
      </c>
      <c r="G442" s="30">
        <v>3.0</v>
      </c>
      <c r="H442" s="30" t="s">
        <v>202</v>
      </c>
      <c r="I442" s="31">
        <v>45078.0</v>
      </c>
      <c r="J442" s="32"/>
      <c r="K442" s="33">
        <v>46174.0</v>
      </c>
      <c r="L442" s="30">
        <v>1.0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29" t="s">
        <v>1187</v>
      </c>
      <c r="B443" s="30" t="s">
        <v>1188</v>
      </c>
      <c r="C443" s="30" t="s">
        <v>1189</v>
      </c>
      <c r="D443" s="30" t="s">
        <v>90</v>
      </c>
      <c r="E443" s="30" t="s">
        <v>21</v>
      </c>
      <c r="F443" s="30" t="s">
        <v>47</v>
      </c>
      <c r="G443" s="30">
        <v>1.0</v>
      </c>
      <c r="H443" s="30" t="s">
        <v>271</v>
      </c>
      <c r="I443" s="31">
        <v>45078.0</v>
      </c>
      <c r="J443" s="32"/>
      <c r="K443" s="33">
        <v>46174.0</v>
      </c>
      <c r="L443" s="30">
        <v>1.0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29" t="s">
        <v>920</v>
      </c>
      <c r="B444" s="30" t="s">
        <v>382</v>
      </c>
      <c r="C444" s="30" t="s">
        <v>1190</v>
      </c>
      <c r="D444" s="30" t="s">
        <v>266</v>
      </c>
      <c r="E444" s="30" t="s">
        <v>21</v>
      </c>
      <c r="F444" s="30" t="s">
        <v>58</v>
      </c>
      <c r="G444" s="30">
        <v>2.0</v>
      </c>
      <c r="H444" s="30" t="s">
        <v>279</v>
      </c>
      <c r="I444" s="31">
        <v>45078.0</v>
      </c>
      <c r="J444" s="32"/>
      <c r="K444" s="33">
        <v>46174.0</v>
      </c>
      <c r="L444" s="30">
        <v>1.0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29" t="s">
        <v>1191</v>
      </c>
      <c r="B445" s="30" t="s">
        <v>93</v>
      </c>
      <c r="C445" s="30" t="s">
        <v>759</v>
      </c>
      <c r="D445" s="30" t="s">
        <v>137</v>
      </c>
      <c r="E445" s="30" t="s">
        <v>21</v>
      </c>
      <c r="F445" s="30" t="s">
        <v>243</v>
      </c>
      <c r="G445" s="30">
        <v>3.0</v>
      </c>
      <c r="H445" s="30" t="s">
        <v>206</v>
      </c>
      <c r="I445" s="31">
        <v>45078.0</v>
      </c>
      <c r="J445" s="32"/>
      <c r="K445" s="33">
        <v>46174.0</v>
      </c>
      <c r="L445" s="30">
        <v>1.0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29" t="s">
        <v>1192</v>
      </c>
      <c r="B446" s="30" t="s">
        <v>651</v>
      </c>
      <c r="C446" s="35"/>
      <c r="D446" s="35"/>
      <c r="E446" s="30" t="s">
        <v>21</v>
      </c>
      <c r="F446" s="35"/>
      <c r="G446" s="35"/>
      <c r="H446" s="30" t="s">
        <v>188</v>
      </c>
      <c r="I446" s="31">
        <v>44348.0</v>
      </c>
      <c r="J446" s="32"/>
      <c r="K446" s="33">
        <v>46539.0</v>
      </c>
      <c r="L446" s="30">
        <v>1.0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29" t="s">
        <v>269</v>
      </c>
      <c r="B447" s="30" t="s">
        <v>915</v>
      </c>
      <c r="C447" s="30" t="s">
        <v>1193</v>
      </c>
      <c r="D447" s="30" t="s">
        <v>95</v>
      </c>
      <c r="E447" s="30" t="s">
        <v>21</v>
      </c>
      <c r="F447" s="30" t="s">
        <v>22</v>
      </c>
      <c r="G447" s="30" t="s">
        <v>41</v>
      </c>
      <c r="H447" s="30" t="s">
        <v>337</v>
      </c>
      <c r="I447" s="31">
        <v>45444.0</v>
      </c>
      <c r="J447" s="32"/>
      <c r="K447" s="33">
        <v>46539.0</v>
      </c>
      <c r="L447" s="30">
        <v>1.0</v>
      </c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29" t="s">
        <v>269</v>
      </c>
      <c r="B448" s="30" t="s">
        <v>1194</v>
      </c>
      <c r="C448" s="30" t="s">
        <v>1195</v>
      </c>
      <c r="D448" s="30" t="s">
        <v>128</v>
      </c>
      <c r="E448" s="30" t="s">
        <v>21</v>
      </c>
      <c r="F448" s="30" t="s">
        <v>248</v>
      </c>
      <c r="G448" s="30" t="s">
        <v>41</v>
      </c>
      <c r="H448" s="30" t="s">
        <v>249</v>
      </c>
      <c r="I448" s="31">
        <v>44713.0</v>
      </c>
      <c r="J448" s="32"/>
      <c r="K448" s="33">
        <v>45809.0</v>
      </c>
      <c r="L448" s="30">
        <v>1.0</v>
      </c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29" t="s">
        <v>573</v>
      </c>
      <c r="B449" s="30" t="s">
        <v>1196</v>
      </c>
      <c r="C449" s="30" t="s">
        <v>1197</v>
      </c>
      <c r="D449" s="30" t="s">
        <v>95</v>
      </c>
      <c r="E449" s="30" t="s">
        <v>21</v>
      </c>
      <c r="F449" s="30" t="s">
        <v>123</v>
      </c>
      <c r="G449" s="30" t="s">
        <v>29</v>
      </c>
      <c r="H449" s="30" t="s">
        <v>124</v>
      </c>
      <c r="I449" s="31">
        <v>43617.0</v>
      </c>
      <c r="J449" s="32"/>
      <c r="K449" s="33">
        <v>45809.0</v>
      </c>
      <c r="L449" s="30">
        <v>1.0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29" t="s">
        <v>1198</v>
      </c>
      <c r="B450" s="30" t="s">
        <v>1199</v>
      </c>
      <c r="C450" s="30" t="s">
        <v>1200</v>
      </c>
      <c r="D450" s="30" t="s">
        <v>107</v>
      </c>
      <c r="E450" s="30" t="s">
        <v>21</v>
      </c>
      <c r="F450" s="30" t="s">
        <v>959</v>
      </c>
      <c r="G450" s="30">
        <v>3.0</v>
      </c>
      <c r="H450" s="30" t="s">
        <v>960</v>
      </c>
      <c r="I450" s="31">
        <v>45078.0</v>
      </c>
      <c r="J450" s="32"/>
      <c r="K450" s="33">
        <v>46174.0</v>
      </c>
      <c r="L450" s="30">
        <v>1.0</v>
      </c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29" t="s">
        <v>1201</v>
      </c>
      <c r="B451" s="30" t="s">
        <v>639</v>
      </c>
      <c r="C451" s="30" t="s">
        <v>503</v>
      </c>
      <c r="D451" s="30" t="s">
        <v>266</v>
      </c>
      <c r="E451" s="30" t="s">
        <v>21</v>
      </c>
      <c r="F451" s="30" t="s">
        <v>113</v>
      </c>
      <c r="G451" s="30" t="s">
        <v>85</v>
      </c>
      <c r="H451" s="30" t="s">
        <v>290</v>
      </c>
      <c r="I451" s="31">
        <v>44713.0</v>
      </c>
      <c r="J451" s="32"/>
      <c r="K451" s="33">
        <v>45809.0</v>
      </c>
      <c r="L451" s="30">
        <v>1.0</v>
      </c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29" t="s">
        <v>1202</v>
      </c>
      <c r="B452" s="30" t="s">
        <v>340</v>
      </c>
      <c r="C452" s="30" t="s">
        <v>1203</v>
      </c>
      <c r="D452" s="30" t="s">
        <v>20</v>
      </c>
      <c r="E452" s="30" t="s">
        <v>21</v>
      </c>
      <c r="F452" s="30" t="s">
        <v>491</v>
      </c>
      <c r="G452" s="30" t="s">
        <v>85</v>
      </c>
      <c r="H452" s="30" t="s">
        <v>42</v>
      </c>
      <c r="I452" s="31">
        <v>44713.0</v>
      </c>
      <c r="J452" s="32"/>
      <c r="K452" s="33">
        <v>45809.0</v>
      </c>
      <c r="L452" s="30">
        <v>1.0</v>
      </c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29" t="s">
        <v>1204</v>
      </c>
      <c r="B453" s="30" t="s">
        <v>1205</v>
      </c>
      <c r="C453" s="30" t="s">
        <v>1079</v>
      </c>
      <c r="D453" s="30" t="s">
        <v>65</v>
      </c>
      <c r="E453" s="30" t="s">
        <v>21</v>
      </c>
      <c r="F453" s="30" t="s">
        <v>78</v>
      </c>
      <c r="G453" s="30" t="s">
        <v>79</v>
      </c>
      <c r="H453" s="30" t="s">
        <v>318</v>
      </c>
      <c r="I453" s="31">
        <v>44713.0</v>
      </c>
      <c r="J453" s="32"/>
      <c r="K453" s="33">
        <v>45809.0</v>
      </c>
      <c r="L453" s="30">
        <v>1.0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29" t="s">
        <v>1206</v>
      </c>
      <c r="B454" s="30" t="s">
        <v>512</v>
      </c>
      <c r="C454" s="30" t="s">
        <v>1207</v>
      </c>
      <c r="D454" s="30" t="s">
        <v>46</v>
      </c>
      <c r="E454" s="30" t="s">
        <v>21</v>
      </c>
      <c r="F454" s="30" t="s">
        <v>267</v>
      </c>
      <c r="G454" s="35"/>
      <c r="H454" s="30" t="s">
        <v>30</v>
      </c>
      <c r="I454" s="31">
        <v>36892.0</v>
      </c>
      <c r="J454" s="32"/>
      <c r="K454" s="33">
        <v>47635.0</v>
      </c>
      <c r="L454" s="30">
        <v>1.0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29" t="s">
        <v>1208</v>
      </c>
      <c r="B455" s="30" t="s">
        <v>697</v>
      </c>
      <c r="C455" s="30" t="s">
        <v>1209</v>
      </c>
      <c r="D455" s="30" t="s">
        <v>521</v>
      </c>
      <c r="E455" s="30" t="s">
        <v>21</v>
      </c>
      <c r="F455" s="30" t="s">
        <v>201</v>
      </c>
      <c r="G455" s="30">
        <v>1.0</v>
      </c>
      <c r="H455" s="30" t="s">
        <v>357</v>
      </c>
      <c r="I455" s="31">
        <v>45078.0</v>
      </c>
      <c r="J455" s="32"/>
      <c r="K455" s="33">
        <v>46174.0</v>
      </c>
      <c r="L455" s="30">
        <v>1.0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29" t="s">
        <v>1210</v>
      </c>
      <c r="B456" s="30" t="s">
        <v>141</v>
      </c>
      <c r="C456" s="30" t="s">
        <v>1211</v>
      </c>
      <c r="D456" s="30" t="s">
        <v>1212</v>
      </c>
      <c r="E456" s="30" t="s">
        <v>21</v>
      </c>
      <c r="F456" s="30" t="s">
        <v>547</v>
      </c>
      <c r="G456" s="30">
        <v>2.0</v>
      </c>
      <c r="H456" s="30" t="s">
        <v>202</v>
      </c>
      <c r="I456" s="31">
        <v>45078.0</v>
      </c>
      <c r="J456" s="32"/>
      <c r="K456" s="33">
        <v>46174.0</v>
      </c>
      <c r="L456" s="30">
        <v>1.0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29" t="s">
        <v>1213</v>
      </c>
      <c r="B457" s="30" t="s">
        <v>1214</v>
      </c>
      <c r="C457" s="35"/>
      <c r="D457" s="35"/>
      <c r="E457" s="35"/>
      <c r="F457" s="30" t="s">
        <v>569</v>
      </c>
      <c r="G457" s="30" t="s">
        <v>29</v>
      </c>
      <c r="H457" s="30" t="s">
        <v>36</v>
      </c>
      <c r="I457" s="31">
        <v>45444.0</v>
      </c>
      <c r="J457" s="32"/>
      <c r="K457" s="33">
        <v>46539.0</v>
      </c>
      <c r="L457" s="30">
        <v>1.0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29" t="s">
        <v>1215</v>
      </c>
      <c r="B458" s="30" t="s">
        <v>340</v>
      </c>
      <c r="C458" s="30" t="s">
        <v>594</v>
      </c>
      <c r="D458" s="30" t="s">
        <v>595</v>
      </c>
      <c r="E458" s="30" t="s">
        <v>21</v>
      </c>
      <c r="F458" s="30" t="s">
        <v>47</v>
      </c>
      <c r="G458" s="30">
        <v>2.0</v>
      </c>
      <c r="H458" s="30" t="s">
        <v>224</v>
      </c>
      <c r="I458" s="31">
        <v>45078.0</v>
      </c>
      <c r="J458" s="32"/>
      <c r="K458" s="33">
        <v>46174.0</v>
      </c>
      <c r="L458" s="30">
        <v>1.0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41" t="s">
        <v>1216</v>
      </c>
      <c r="B459" s="42" t="s">
        <v>1217</v>
      </c>
      <c r="C459" s="43"/>
      <c r="D459" s="43"/>
      <c r="E459" s="43"/>
      <c r="F459" s="42" t="s">
        <v>119</v>
      </c>
      <c r="G459" s="43"/>
      <c r="H459" s="43"/>
      <c r="I459" s="44">
        <v>45444.0</v>
      </c>
      <c r="J459" s="44">
        <v>46539.0</v>
      </c>
      <c r="K459" s="45">
        <v>47635.0</v>
      </c>
      <c r="L459" s="46">
        <v>2.0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29" t="s">
        <v>1216</v>
      </c>
      <c r="B460" s="30" t="s">
        <v>1218</v>
      </c>
      <c r="C460" s="30" t="s">
        <v>761</v>
      </c>
      <c r="D460" s="30" t="s">
        <v>57</v>
      </c>
      <c r="E460" s="30" t="s">
        <v>21</v>
      </c>
      <c r="F460" s="30" t="s">
        <v>267</v>
      </c>
      <c r="G460" s="35"/>
      <c r="H460" s="30" t="s">
        <v>30</v>
      </c>
      <c r="I460" s="31">
        <v>38124.0</v>
      </c>
      <c r="J460" s="32"/>
      <c r="K460" s="33">
        <v>47635.0</v>
      </c>
      <c r="L460" s="30">
        <v>1.0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29" t="s">
        <v>1219</v>
      </c>
      <c r="B461" s="30" t="s">
        <v>1220</v>
      </c>
      <c r="C461" s="30" t="s">
        <v>611</v>
      </c>
      <c r="D461" s="30" t="s">
        <v>65</v>
      </c>
      <c r="E461" s="30" t="s">
        <v>21</v>
      </c>
      <c r="F461" s="30" t="s">
        <v>58</v>
      </c>
      <c r="G461" s="30">
        <v>3.0</v>
      </c>
      <c r="H461" s="30" t="s">
        <v>271</v>
      </c>
      <c r="I461" s="31">
        <v>45078.0</v>
      </c>
      <c r="J461" s="32"/>
      <c r="K461" s="33">
        <v>46174.0</v>
      </c>
      <c r="L461" s="30">
        <v>1.0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29" t="s">
        <v>1221</v>
      </c>
      <c r="B462" s="30" t="s">
        <v>1222</v>
      </c>
      <c r="C462" s="35"/>
      <c r="D462" s="35"/>
      <c r="E462" s="35"/>
      <c r="F462" s="30" t="s">
        <v>1223</v>
      </c>
      <c r="G462" s="35"/>
      <c r="H462" s="30" t="s">
        <v>1223</v>
      </c>
      <c r="I462" s="31">
        <v>44348.0</v>
      </c>
      <c r="J462" s="32"/>
      <c r="K462" s="33">
        <v>46539.0</v>
      </c>
      <c r="L462" s="30">
        <v>1.0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29" t="s">
        <v>1224</v>
      </c>
      <c r="B463" s="30" t="s">
        <v>1225</v>
      </c>
      <c r="C463" s="30" t="s">
        <v>1226</v>
      </c>
      <c r="D463" s="30" t="s">
        <v>27</v>
      </c>
      <c r="E463" s="30" t="s">
        <v>21</v>
      </c>
      <c r="F463" s="30" t="s">
        <v>113</v>
      </c>
      <c r="G463" s="30" t="s">
        <v>85</v>
      </c>
      <c r="H463" s="30" t="s">
        <v>285</v>
      </c>
      <c r="I463" s="31">
        <v>44713.0</v>
      </c>
      <c r="J463" s="32"/>
      <c r="K463" s="33">
        <v>45809.0</v>
      </c>
      <c r="L463" s="30">
        <v>1.0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29" t="s">
        <v>1227</v>
      </c>
      <c r="B464" s="30" t="s">
        <v>1228</v>
      </c>
      <c r="C464" s="30" t="s">
        <v>1229</v>
      </c>
      <c r="D464" s="30" t="s">
        <v>137</v>
      </c>
      <c r="E464" s="30" t="s">
        <v>21</v>
      </c>
      <c r="F464" s="30" t="s">
        <v>113</v>
      </c>
      <c r="G464" s="30" t="s">
        <v>41</v>
      </c>
      <c r="H464" s="30" t="s">
        <v>290</v>
      </c>
      <c r="I464" s="31">
        <v>44713.0</v>
      </c>
      <c r="J464" s="32"/>
      <c r="K464" s="33">
        <v>45809.0</v>
      </c>
      <c r="L464" s="30">
        <v>1.0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29" t="s">
        <v>1227</v>
      </c>
      <c r="B465" s="30" t="s">
        <v>1230</v>
      </c>
      <c r="C465" s="30" t="s">
        <v>1231</v>
      </c>
      <c r="D465" s="30" t="s">
        <v>137</v>
      </c>
      <c r="E465" s="30" t="s">
        <v>21</v>
      </c>
      <c r="F465" s="30" t="s">
        <v>113</v>
      </c>
      <c r="G465" s="30" t="s">
        <v>41</v>
      </c>
      <c r="H465" s="30" t="s">
        <v>290</v>
      </c>
      <c r="I465" s="31">
        <v>44713.0</v>
      </c>
      <c r="J465" s="32"/>
      <c r="K465" s="33">
        <v>45809.0</v>
      </c>
      <c r="L465" s="30">
        <v>1.0</v>
      </c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29" t="s">
        <v>1232</v>
      </c>
      <c r="B466" s="30" t="s">
        <v>1233</v>
      </c>
      <c r="C466" s="30" t="s">
        <v>958</v>
      </c>
      <c r="D466" s="30" t="s">
        <v>102</v>
      </c>
      <c r="E466" s="30" t="s">
        <v>21</v>
      </c>
      <c r="F466" s="30" t="s">
        <v>196</v>
      </c>
      <c r="G466" s="30" t="s">
        <v>391</v>
      </c>
      <c r="H466" s="30" t="s">
        <v>36</v>
      </c>
      <c r="I466" s="31">
        <v>44713.0</v>
      </c>
      <c r="J466" s="31">
        <v>46539.0</v>
      </c>
      <c r="K466" s="33">
        <v>47635.0</v>
      </c>
      <c r="L466" s="30">
        <v>2.0</v>
      </c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29" t="s">
        <v>1234</v>
      </c>
      <c r="B467" s="30" t="s">
        <v>1235</v>
      </c>
      <c r="C467" s="35"/>
      <c r="D467" s="30" t="s">
        <v>305</v>
      </c>
      <c r="E467" s="30" t="s">
        <v>585</v>
      </c>
      <c r="F467" s="30" t="s">
        <v>267</v>
      </c>
      <c r="G467" s="35"/>
      <c r="H467" s="30" t="s">
        <v>30</v>
      </c>
      <c r="I467" s="31">
        <v>36892.0</v>
      </c>
      <c r="J467" s="32"/>
      <c r="K467" s="33">
        <v>47635.0</v>
      </c>
      <c r="L467" s="30">
        <v>1.0</v>
      </c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29" t="s">
        <v>1236</v>
      </c>
      <c r="B468" s="30" t="s">
        <v>1237</v>
      </c>
      <c r="C468" s="30" t="s">
        <v>1238</v>
      </c>
      <c r="D468" s="30" t="s">
        <v>185</v>
      </c>
      <c r="E468" s="30" t="s">
        <v>21</v>
      </c>
      <c r="F468" s="30" t="s">
        <v>47</v>
      </c>
      <c r="G468" s="30">
        <v>3.0</v>
      </c>
      <c r="H468" s="30" t="s">
        <v>186</v>
      </c>
      <c r="I468" s="31">
        <v>45078.0</v>
      </c>
      <c r="J468" s="32"/>
      <c r="K468" s="33">
        <v>46174.0</v>
      </c>
      <c r="L468" s="30">
        <v>1.0</v>
      </c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29" t="s">
        <v>1239</v>
      </c>
      <c r="B469" s="30" t="s">
        <v>320</v>
      </c>
      <c r="C469" s="30" t="s">
        <v>1240</v>
      </c>
      <c r="D469" s="30" t="s">
        <v>71</v>
      </c>
      <c r="E469" s="30" t="s">
        <v>21</v>
      </c>
      <c r="F469" s="30" t="s">
        <v>113</v>
      </c>
      <c r="G469" s="30" t="s">
        <v>85</v>
      </c>
      <c r="H469" s="30" t="s">
        <v>116</v>
      </c>
      <c r="I469" s="31">
        <v>44713.0</v>
      </c>
      <c r="J469" s="32"/>
      <c r="K469" s="33">
        <v>45809.0</v>
      </c>
      <c r="L469" s="30">
        <v>1.0</v>
      </c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29" t="s">
        <v>1241</v>
      </c>
      <c r="B470" s="30" t="s">
        <v>750</v>
      </c>
      <c r="C470" s="30" t="s">
        <v>1242</v>
      </c>
      <c r="D470" s="30" t="s">
        <v>185</v>
      </c>
      <c r="E470" s="30" t="s">
        <v>21</v>
      </c>
      <c r="F470" s="30" t="s">
        <v>113</v>
      </c>
      <c r="G470" s="30" t="s">
        <v>41</v>
      </c>
      <c r="H470" s="30" t="s">
        <v>80</v>
      </c>
      <c r="I470" s="31">
        <v>44713.0</v>
      </c>
      <c r="J470" s="32"/>
      <c r="K470" s="33">
        <v>45809.0</v>
      </c>
      <c r="L470" s="30">
        <v>1.0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29" t="s">
        <v>1243</v>
      </c>
      <c r="B471" s="30" t="s">
        <v>678</v>
      </c>
      <c r="C471" s="30" t="s">
        <v>990</v>
      </c>
      <c r="D471" s="30" t="s">
        <v>102</v>
      </c>
      <c r="E471" s="30" t="s">
        <v>21</v>
      </c>
      <c r="F471" s="30" t="s">
        <v>78</v>
      </c>
      <c r="G471" s="30" t="s">
        <v>79</v>
      </c>
      <c r="H471" s="30" t="s">
        <v>86</v>
      </c>
      <c r="I471" s="31">
        <v>44713.0</v>
      </c>
      <c r="J471" s="32"/>
      <c r="K471" s="33">
        <v>45809.0</v>
      </c>
      <c r="L471" s="30">
        <v>1.0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29" t="s">
        <v>1244</v>
      </c>
      <c r="B472" s="30" t="s">
        <v>697</v>
      </c>
      <c r="C472" s="30" t="s">
        <v>1245</v>
      </c>
      <c r="D472" s="30" t="s">
        <v>137</v>
      </c>
      <c r="E472" s="30" t="s">
        <v>21</v>
      </c>
      <c r="F472" s="30" t="s">
        <v>243</v>
      </c>
      <c r="G472" s="30">
        <v>2.0</v>
      </c>
      <c r="H472" s="30" t="s">
        <v>48</v>
      </c>
      <c r="I472" s="31">
        <v>45078.0</v>
      </c>
      <c r="J472" s="32"/>
      <c r="K472" s="33">
        <v>46174.0</v>
      </c>
      <c r="L472" s="30">
        <v>1.0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29" t="s">
        <v>1246</v>
      </c>
      <c r="B473" s="30" t="s">
        <v>602</v>
      </c>
      <c r="C473" s="30" t="s">
        <v>1247</v>
      </c>
      <c r="D473" s="30" t="s">
        <v>102</v>
      </c>
      <c r="E473" s="30" t="s">
        <v>21</v>
      </c>
      <c r="F473" s="30" t="s">
        <v>530</v>
      </c>
      <c r="G473" s="30" t="s">
        <v>79</v>
      </c>
      <c r="H473" s="30" t="s">
        <v>98</v>
      </c>
      <c r="I473" s="31">
        <v>44713.0</v>
      </c>
      <c r="J473" s="31">
        <v>45809.0</v>
      </c>
      <c r="K473" s="33">
        <v>46905.0</v>
      </c>
      <c r="L473" s="30">
        <v>2.0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29" t="s">
        <v>1248</v>
      </c>
      <c r="B474" s="30" t="s">
        <v>320</v>
      </c>
      <c r="C474" s="30" t="s">
        <v>1249</v>
      </c>
      <c r="D474" s="30" t="s">
        <v>102</v>
      </c>
      <c r="E474" s="30" t="s">
        <v>21</v>
      </c>
      <c r="F474" s="30" t="s">
        <v>988</v>
      </c>
      <c r="G474" s="34">
        <v>45418.0</v>
      </c>
      <c r="H474" s="30" t="s">
        <v>48</v>
      </c>
      <c r="I474" s="31">
        <v>45078.0</v>
      </c>
      <c r="J474" s="32"/>
      <c r="K474" s="33">
        <v>46174.0</v>
      </c>
      <c r="L474" s="30">
        <v>1.0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29" t="s">
        <v>1248</v>
      </c>
      <c r="B475" s="30" t="s">
        <v>704</v>
      </c>
      <c r="C475" s="30" t="s">
        <v>256</v>
      </c>
      <c r="D475" s="30" t="s">
        <v>102</v>
      </c>
      <c r="E475" s="30" t="s">
        <v>21</v>
      </c>
      <c r="F475" s="30" t="s">
        <v>1070</v>
      </c>
      <c r="G475" s="30">
        <v>2.0</v>
      </c>
      <c r="H475" s="30" t="s">
        <v>48</v>
      </c>
      <c r="I475" s="31">
        <v>45078.0</v>
      </c>
      <c r="J475" s="32"/>
      <c r="K475" s="33">
        <v>46174.0</v>
      </c>
      <c r="L475" s="30">
        <v>1.0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29" t="s">
        <v>1248</v>
      </c>
      <c r="B476" s="30" t="s">
        <v>1250</v>
      </c>
      <c r="C476" s="30" t="s">
        <v>1193</v>
      </c>
      <c r="D476" s="30" t="s">
        <v>95</v>
      </c>
      <c r="E476" s="30" t="s">
        <v>21</v>
      </c>
      <c r="F476" s="30" t="s">
        <v>78</v>
      </c>
      <c r="G476" s="30" t="s">
        <v>79</v>
      </c>
      <c r="H476" s="30" t="s">
        <v>116</v>
      </c>
      <c r="I476" s="31">
        <v>44713.0</v>
      </c>
      <c r="J476" s="32"/>
      <c r="K476" s="33">
        <v>45809.0</v>
      </c>
      <c r="L476" s="30">
        <v>1.0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29" t="s">
        <v>1246</v>
      </c>
      <c r="B477" s="30" t="s">
        <v>456</v>
      </c>
      <c r="C477" s="35"/>
      <c r="D477" s="35"/>
      <c r="E477" s="30" t="s">
        <v>21</v>
      </c>
      <c r="F477" s="35"/>
      <c r="G477" s="35"/>
      <c r="H477" s="30" t="s">
        <v>188</v>
      </c>
      <c r="I477" s="31">
        <v>44348.0</v>
      </c>
      <c r="J477" s="32"/>
      <c r="K477" s="33">
        <v>46539.0</v>
      </c>
      <c r="L477" s="30">
        <v>1.0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29" t="s">
        <v>1251</v>
      </c>
      <c r="B478" s="30" t="s">
        <v>131</v>
      </c>
      <c r="C478" s="30" t="s">
        <v>1252</v>
      </c>
      <c r="D478" s="30" t="s">
        <v>275</v>
      </c>
      <c r="E478" s="30" t="s">
        <v>21</v>
      </c>
      <c r="F478" s="30" t="s">
        <v>113</v>
      </c>
      <c r="G478" s="30" t="s">
        <v>79</v>
      </c>
      <c r="H478" s="30" t="s">
        <v>133</v>
      </c>
      <c r="I478" s="31">
        <v>44713.0</v>
      </c>
      <c r="J478" s="32"/>
      <c r="K478" s="33">
        <v>45809.0</v>
      </c>
      <c r="L478" s="30">
        <v>1.0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29" t="s">
        <v>1251</v>
      </c>
      <c r="B479" s="30" t="s">
        <v>919</v>
      </c>
      <c r="C479" s="30" t="s">
        <v>1253</v>
      </c>
      <c r="D479" s="30" t="s">
        <v>275</v>
      </c>
      <c r="E479" s="30" t="s">
        <v>21</v>
      </c>
      <c r="F479" s="30" t="s">
        <v>113</v>
      </c>
      <c r="G479" s="30" t="s">
        <v>79</v>
      </c>
      <c r="H479" s="30" t="s">
        <v>133</v>
      </c>
      <c r="I479" s="31">
        <v>44713.0</v>
      </c>
      <c r="J479" s="32"/>
      <c r="K479" s="33">
        <v>45809.0</v>
      </c>
      <c r="L479" s="30">
        <v>1.0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29" t="s">
        <v>1254</v>
      </c>
      <c r="B480" s="30" t="s">
        <v>316</v>
      </c>
      <c r="C480" s="30" t="s">
        <v>1255</v>
      </c>
      <c r="D480" s="30" t="s">
        <v>46</v>
      </c>
      <c r="E480" s="30" t="s">
        <v>21</v>
      </c>
      <c r="F480" s="30" t="s">
        <v>47</v>
      </c>
      <c r="G480" s="30">
        <v>3.0</v>
      </c>
      <c r="H480" s="30" t="s">
        <v>48</v>
      </c>
      <c r="I480" s="31">
        <v>45078.0</v>
      </c>
      <c r="J480" s="31">
        <v>46174.0</v>
      </c>
      <c r="K480" s="33">
        <v>47270.0</v>
      </c>
      <c r="L480" s="30">
        <v>2.0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29" t="s">
        <v>1256</v>
      </c>
      <c r="B481" s="30" t="s">
        <v>510</v>
      </c>
      <c r="C481" s="30" t="s">
        <v>1257</v>
      </c>
      <c r="D481" s="30" t="s">
        <v>430</v>
      </c>
      <c r="E481" s="30" t="s">
        <v>21</v>
      </c>
      <c r="F481" s="30" t="s">
        <v>267</v>
      </c>
      <c r="G481" s="35"/>
      <c r="H481" s="30" t="s">
        <v>30</v>
      </c>
      <c r="I481" s="31">
        <v>36892.0</v>
      </c>
      <c r="J481" s="32"/>
      <c r="K481" s="33">
        <v>47635.0</v>
      </c>
      <c r="L481" s="30">
        <v>1.0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29" t="s">
        <v>1256</v>
      </c>
      <c r="B482" s="30" t="s">
        <v>1258</v>
      </c>
      <c r="C482" s="30" t="s">
        <v>1259</v>
      </c>
      <c r="D482" s="30" t="s">
        <v>128</v>
      </c>
      <c r="E482" s="30" t="s">
        <v>21</v>
      </c>
      <c r="F482" s="35"/>
      <c r="G482" s="35"/>
      <c r="H482" s="30" t="s">
        <v>188</v>
      </c>
      <c r="I482" s="31">
        <v>44348.0</v>
      </c>
      <c r="J482" s="32"/>
      <c r="K482" s="33">
        <v>46539.0</v>
      </c>
      <c r="L482" s="30">
        <v>1.0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29" t="s">
        <v>1260</v>
      </c>
      <c r="B483" s="30" t="s">
        <v>226</v>
      </c>
      <c r="C483" s="30" t="s">
        <v>1261</v>
      </c>
      <c r="D483" s="30" t="s">
        <v>71</v>
      </c>
      <c r="E483" s="30" t="s">
        <v>21</v>
      </c>
      <c r="F483" s="30" t="s">
        <v>243</v>
      </c>
      <c r="G483" s="30">
        <v>3.0</v>
      </c>
      <c r="H483" s="30" t="s">
        <v>202</v>
      </c>
      <c r="I483" s="31">
        <v>45078.0</v>
      </c>
      <c r="J483" s="32"/>
      <c r="K483" s="33">
        <v>46174.0</v>
      </c>
      <c r="L483" s="30">
        <v>1.0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29" t="s">
        <v>1262</v>
      </c>
      <c r="B484" s="30" t="s">
        <v>1263</v>
      </c>
      <c r="C484" s="30" t="s">
        <v>341</v>
      </c>
      <c r="D484" s="30" t="s">
        <v>65</v>
      </c>
      <c r="E484" s="30" t="s">
        <v>21</v>
      </c>
      <c r="F484" s="30" t="s">
        <v>78</v>
      </c>
      <c r="G484" s="30" t="s">
        <v>41</v>
      </c>
      <c r="H484" s="30" t="s">
        <v>318</v>
      </c>
      <c r="I484" s="31">
        <v>44713.0</v>
      </c>
      <c r="J484" s="32"/>
      <c r="K484" s="33">
        <v>45809.0</v>
      </c>
      <c r="L484" s="30">
        <v>1.0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29" t="s">
        <v>1264</v>
      </c>
      <c r="B485" s="30" t="s">
        <v>750</v>
      </c>
      <c r="C485" s="35"/>
      <c r="D485" s="35"/>
      <c r="E485" s="30" t="s">
        <v>177</v>
      </c>
      <c r="F485" s="30" t="s">
        <v>351</v>
      </c>
      <c r="G485" s="30">
        <v>1.0</v>
      </c>
      <c r="H485" s="30" t="s">
        <v>244</v>
      </c>
      <c r="I485" s="31">
        <v>45078.0</v>
      </c>
      <c r="J485" s="32"/>
      <c r="K485" s="33">
        <v>46174.0</v>
      </c>
      <c r="L485" s="30">
        <v>1.0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29" t="s">
        <v>1265</v>
      </c>
      <c r="B486" s="30" t="s">
        <v>1266</v>
      </c>
      <c r="C486" s="30" t="s">
        <v>1079</v>
      </c>
      <c r="D486" s="30" t="s">
        <v>65</v>
      </c>
      <c r="E486" s="30" t="s">
        <v>21</v>
      </c>
      <c r="F486" s="30" t="s">
        <v>78</v>
      </c>
      <c r="G486" s="30" t="s">
        <v>79</v>
      </c>
      <c r="H486" s="30" t="s">
        <v>318</v>
      </c>
      <c r="I486" s="31">
        <v>44713.0</v>
      </c>
      <c r="J486" s="32"/>
      <c r="K486" s="33">
        <v>45809.0</v>
      </c>
      <c r="L486" s="30">
        <v>1.0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29" t="s">
        <v>1267</v>
      </c>
      <c r="B487" s="30" t="s">
        <v>183</v>
      </c>
      <c r="C487" s="30" t="s">
        <v>1268</v>
      </c>
      <c r="D487" s="30" t="s">
        <v>20</v>
      </c>
      <c r="E487" s="30" t="s">
        <v>21</v>
      </c>
      <c r="F487" s="30" t="s">
        <v>530</v>
      </c>
      <c r="G487" s="30" t="s">
        <v>97</v>
      </c>
      <c r="H487" s="30" t="s">
        <v>98</v>
      </c>
      <c r="I487" s="31">
        <v>44713.0</v>
      </c>
      <c r="J487" s="31">
        <v>45809.0</v>
      </c>
      <c r="K487" s="33">
        <v>46905.0</v>
      </c>
      <c r="L487" s="30">
        <v>2.0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29" t="s">
        <v>1269</v>
      </c>
      <c r="B488" s="30" t="s">
        <v>1101</v>
      </c>
      <c r="C488" s="30" t="s">
        <v>1270</v>
      </c>
      <c r="D488" s="30" t="s">
        <v>430</v>
      </c>
      <c r="E488" s="30" t="s">
        <v>21</v>
      </c>
      <c r="F488" s="30" t="s">
        <v>267</v>
      </c>
      <c r="G488" s="35"/>
      <c r="H488" s="30" t="s">
        <v>30</v>
      </c>
      <c r="I488" s="31">
        <v>36892.0</v>
      </c>
      <c r="J488" s="32"/>
      <c r="K488" s="33">
        <v>47635.0</v>
      </c>
      <c r="L488" s="30">
        <v>1.0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29" t="s">
        <v>1271</v>
      </c>
      <c r="B489" s="30" t="s">
        <v>602</v>
      </c>
      <c r="C489" s="35"/>
      <c r="D489" s="30" t="s">
        <v>305</v>
      </c>
      <c r="E489" s="30" t="s">
        <v>304</v>
      </c>
      <c r="F489" s="30" t="s">
        <v>306</v>
      </c>
      <c r="G489" s="30" t="s">
        <v>1272</v>
      </c>
      <c r="H489" s="30" t="s">
        <v>30</v>
      </c>
      <c r="I489" s="31">
        <v>43132.0</v>
      </c>
      <c r="J489" s="32"/>
      <c r="K489" s="33">
        <v>47635.0</v>
      </c>
      <c r="L489" s="30">
        <v>1.0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29" t="s">
        <v>1273</v>
      </c>
      <c r="B490" s="30" t="s">
        <v>309</v>
      </c>
      <c r="C490" s="30" t="s">
        <v>1274</v>
      </c>
      <c r="D490" s="30" t="s">
        <v>137</v>
      </c>
      <c r="E490" s="30" t="s">
        <v>21</v>
      </c>
      <c r="F490" s="30" t="s">
        <v>243</v>
      </c>
      <c r="G490" s="30">
        <v>2.0</v>
      </c>
      <c r="H490" s="30" t="s">
        <v>357</v>
      </c>
      <c r="I490" s="31">
        <v>45078.0</v>
      </c>
      <c r="J490" s="32"/>
      <c r="K490" s="33">
        <v>46174.0</v>
      </c>
      <c r="L490" s="30">
        <v>1.0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47" t="s">
        <v>1275</v>
      </c>
      <c r="B491" s="48" t="s">
        <v>1276</v>
      </c>
      <c r="C491" s="48" t="s">
        <v>1277</v>
      </c>
      <c r="D491" s="48" t="s">
        <v>107</v>
      </c>
      <c r="E491" s="30" t="s">
        <v>21</v>
      </c>
      <c r="F491" s="49" t="s">
        <v>544</v>
      </c>
      <c r="G491" s="49" t="s">
        <v>85</v>
      </c>
      <c r="H491" s="49" t="s">
        <v>924</v>
      </c>
      <c r="I491" s="31">
        <v>45444.0</v>
      </c>
      <c r="J491" s="32"/>
      <c r="K491" s="33">
        <v>46539.0</v>
      </c>
      <c r="L491" s="30">
        <v>1.0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29" t="s">
        <v>1278</v>
      </c>
      <c r="B492" s="30" t="s">
        <v>1279</v>
      </c>
      <c r="C492" s="30" t="s">
        <v>1280</v>
      </c>
      <c r="D492" s="30" t="s">
        <v>137</v>
      </c>
      <c r="E492" s="30" t="s">
        <v>21</v>
      </c>
      <c r="F492" s="30" t="s">
        <v>267</v>
      </c>
      <c r="G492" s="35"/>
      <c r="H492" s="30" t="s">
        <v>30</v>
      </c>
      <c r="I492" s="31">
        <v>36892.0</v>
      </c>
      <c r="J492" s="32"/>
      <c r="K492" s="33">
        <v>47635.0</v>
      </c>
      <c r="L492" s="30">
        <v>1.0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29" t="s">
        <v>1281</v>
      </c>
      <c r="B493" s="30" t="s">
        <v>1282</v>
      </c>
      <c r="C493" s="35"/>
      <c r="D493" s="30" t="s">
        <v>185</v>
      </c>
      <c r="E493" s="30" t="s">
        <v>21</v>
      </c>
      <c r="F493" s="30" t="s">
        <v>47</v>
      </c>
      <c r="G493" s="30">
        <v>3.0</v>
      </c>
      <c r="H493" s="30" t="s">
        <v>960</v>
      </c>
      <c r="I493" s="31">
        <v>45078.0</v>
      </c>
      <c r="J493" s="32"/>
      <c r="K493" s="33">
        <v>46174.0</v>
      </c>
      <c r="L493" s="30">
        <v>1.0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29" t="s">
        <v>1281</v>
      </c>
      <c r="B494" s="30" t="s">
        <v>340</v>
      </c>
      <c r="C494" s="30" t="s">
        <v>76</v>
      </c>
      <c r="D494" s="30" t="s">
        <v>77</v>
      </c>
      <c r="E494" s="30" t="s">
        <v>21</v>
      </c>
      <c r="F494" s="30" t="s">
        <v>1283</v>
      </c>
      <c r="G494" s="30">
        <v>1.0</v>
      </c>
      <c r="H494" s="30" t="s">
        <v>1058</v>
      </c>
      <c r="I494" s="31">
        <v>45444.0</v>
      </c>
      <c r="J494" s="32"/>
      <c r="K494" s="33">
        <v>46539.0</v>
      </c>
      <c r="L494" s="30">
        <v>1.0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29" t="s">
        <v>1284</v>
      </c>
      <c r="B495" s="30" t="s">
        <v>1285</v>
      </c>
      <c r="C495" s="30" t="s">
        <v>1286</v>
      </c>
      <c r="D495" s="30" t="s">
        <v>266</v>
      </c>
      <c r="E495" s="30" t="s">
        <v>21</v>
      </c>
      <c r="F495" s="30" t="s">
        <v>1287</v>
      </c>
      <c r="G495" s="30" t="s">
        <v>79</v>
      </c>
      <c r="H495" s="30" t="s">
        <v>98</v>
      </c>
      <c r="I495" s="31">
        <v>44713.0</v>
      </c>
      <c r="J495" s="31">
        <v>45809.0</v>
      </c>
      <c r="K495" s="33">
        <v>46905.0</v>
      </c>
      <c r="L495" s="30">
        <v>2.0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41" t="s">
        <v>1288</v>
      </c>
      <c r="B496" s="42" t="s">
        <v>1289</v>
      </c>
      <c r="C496" s="43"/>
      <c r="D496" s="43"/>
      <c r="E496" s="43"/>
      <c r="F496" s="42" t="s">
        <v>119</v>
      </c>
      <c r="G496" s="43"/>
      <c r="H496" s="43"/>
      <c r="I496" s="44">
        <v>45444.0</v>
      </c>
      <c r="J496" s="44">
        <v>46539.0</v>
      </c>
      <c r="K496" s="45">
        <v>47635.0</v>
      </c>
      <c r="L496" s="46">
        <v>2.0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29" t="s">
        <v>1290</v>
      </c>
      <c r="B497" s="30" t="s">
        <v>281</v>
      </c>
      <c r="C497" s="30" t="s">
        <v>958</v>
      </c>
      <c r="D497" s="30" t="s">
        <v>102</v>
      </c>
      <c r="E497" s="30" t="s">
        <v>21</v>
      </c>
      <c r="F497" s="30" t="s">
        <v>253</v>
      </c>
      <c r="G497" s="30">
        <v>1.0</v>
      </c>
      <c r="H497" s="30" t="s">
        <v>48</v>
      </c>
      <c r="I497" s="31">
        <v>45078.0</v>
      </c>
      <c r="J497" s="32"/>
      <c r="K497" s="33">
        <v>46174.0</v>
      </c>
      <c r="L497" s="30">
        <v>1.0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29" t="s">
        <v>1291</v>
      </c>
      <c r="B498" s="30" t="s">
        <v>665</v>
      </c>
      <c r="C498" s="35"/>
      <c r="D498" s="35"/>
      <c r="E498" s="35"/>
      <c r="F498" s="30" t="s">
        <v>822</v>
      </c>
      <c r="G498" s="30" t="s">
        <v>29</v>
      </c>
      <c r="H498" s="30" t="s">
        <v>36</v>
      </c>
      <c r="I498" s="31">
        <v>45444.0</v>
      </c>
      <c r="J498" s="32"/>
      <c r="K498" s="33">
        <v>46539.0</v>
      </c>
      <c r="L498" s="30">
        <v>1.0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29" t="s">
        <v>1292</v>
      </c>
      <c r="B499" s="30" t="s">
        <v>25</v>
      </c>
      <c r="C499" s="30" t="s">
        <v>1293</v>
      </c>
      <c r="D499" s="30" t="s">
        <v>102</v>
      </c>
      <c r="E499" s="30" t="s">
        <v>21</v>
      </c>
      <c r="F499" s="30" t="s">
        <v>1294</v>
      </c>
      <c r="G499" s="30" t="s">
        <v>391</v>
      </c>
      <c r="H499" s="30" t="s">
        <v>124</v>
      </c>
      <c r="I499" s="31">
        <v>43617.0</v>
      </c>
      <c r="J499" s="32"/>
      <c r="K499" s="33">
        <v>45809.0</v>
      </c>
      <c r="L499" s="30">
        <v>1.0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29" t="s">
        <v>1295</v>
      </c>
      <c r="B500" s="30" t="s">
        <v>204</v>
      </c>
      <c r="C500" s="30" t="s">
        <v>61</v>
      </c>
      <c r="D500" s="30" t="s">
        <v>27</v>
      </c>
      <c r="E500" s="30" t="s">
        <v>21</v>
      </c>
      <c r="F500" s="30" t="s">
        <v>78</v>
      </c>
      <c r="G500" s="30" t="s">
        <v>41</v>
      </c>
      <c r="H500" s="30" t="s">
        <v>285</v>
      </c>
      <c r="I500" s="31">
        <v>44713.0</v>
      </c>
      <c r="J500" s="32"/>
      <c r="K500" s="33">
        <v>45809.0</v>
      </c>
      <c r="L500" s="30">
        <v>1.0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29" t="s">
        <v>1296</v>
      </c>
      <c r="B501" s="30" t="s">
        <v>93</v>
      </c>
      <c r="C501" s="30" t="s">
        <v>1297</v>
      </c>
      <c r="D501" s="30" t="s">
        <v>137</v>
      </c>
      <c r="E501" s="30" t="s">
        <v>21</v>
      </c>
      <c r="F501" s="30" t="s">
        <v>289</v>
      </c>
      <c r="G501" s="30" t="s">
        <v>85</v>
      </c>
      <c r="H501" s="30" t="s">
        <v>285</v>
      </c>
      <c r="I501" s="31">
        <v>44713.0</v>
      </c>
      <c r="J501" s="32"/>
      <c r="K501" s="33">
        <v>45809.0</v>
      </c>
      <c r="L501" s="30">
        <v>1.0</v>
      </c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29" t="s">
        <v>1298</v>
      </c>
      <c r="B502" s="30" t="s">
        <v>697</v>
      </c>
      <c r="C502" s="30" t="s">
        <v>1299</v>
      </c>
      <c r="D502" s="30" t="s">
        <v>46</v>
      </c>
      <c r="E502" s="30" t="s">
        <v>21</v>
      </c>
      <c r="F502" s="30" t="s">
        <v>201</v>
      </c>
      <c r="G502" s="30">
        <v>2.0</v>
      </c>
      <c r="H502" s="30" t="s">
        <v>279</v>
      </c>
      <c r="I502" s="31">
        <v>45078.0</v>
      </c>
      <c r="J502" s="32"/>
      <c r="K502" s="33">
        <v>46174.0</v>
      </c>
      <c r="L502" s="30">
        <v>1.0</v>
      </c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29" t="s">
        <v>1300</v>
      </c>
      <c r="B503" s="30" t="s">
        <v>1301</v>
      </c>
      <c r="C503" s="30" t="s">
        <v>1302</v>
      </c>
      <c r="D503" s="30" t="s">
        <v>146</v>
      </c>
      <c r="E503" s="30" t="s">
        <v>21</v>
      </c>
      <c r="F503" s="30" t="s">
        <v>267</v>
      </c>
      <c r="G503" s="35"/>
      <c r="H503" s="30" t="s">
        <v>30</v>
      </c>
      <c r="I503" s="31">
        <v>36892.0</v>
      </c>
      <c r="J503" s="32"/>
      <c r="K503" s="33">
        <v>47635.0</v>
      </c>
      <c r="L503" s="30">
        <v>1.0</v>
      </c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29" t="s">
        <v>1303</v>
      </c>
      <c r="B504" s="30" t="s">
        <v>414</v>
      </c>
      <c r="C504" s="30" t="s">
        <v>1304</v>
      </c>
      <c r="D504" s="30" t="s">
        <v>27</v>
      </c>
      <c r="E504" s="30" t="s">
        <v>21</v>
      </c>
      <c r="F504" s="30" t="s">
        <v>138</v>
      </c>
      <c r="G504" s="30" t="s">
        <v>35</v>
      </c>
      <c r="H504" s="30" t="s">
        <v>36</v>
      </c>
      <c r="I504" s="31">
        <v>45078.0</v>
      </c>
      <c r="J504" s="31">
        <v>46539.0</v>
      </c>
      <c r="K504" s="33">
        <v>47635.0</v>
      </c>
      <c r="L504" s="30">
        <v>2.0</v>
      </c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29" t="s">
        <v>1305</v>
      </c>
      <c r="B505" s="30" t="s">
        <v>261</v>
      </c>
      <c r="C505" s="30" t="s">
        <v>1306</v>
      </c>
      <c r="D505" s="30" t="s">
        <v>71</v>
      </c>
      <c r="E505" s="30" t="s">
        <v>21</v>
      </c>
      <c r="F505" s="30" t="s">
        <v>267</v>
      </c>
      <c r="G505" s="35"/>
      <c r="H505" s="30" t="s">
        <v>30</v>
      </c>
      <c r="I505" s="31">
        <v>36892.0</v>
      </c>
      <c r="J505" s="32"/>
      <c r="K505" s="33">
        <v>47635.0</v>
      </c>
      <c r="L505" s="30">
        <v>1.0</v>
      </c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29" t="s">
        <v>1307</v>
      </c>
      <c r="B506" s="30" t="s">
        <v>1308</v>
      </c>
      <c r="C506" s="30" t="s">
        <v>1309</v>
      </c>
      <c r="D506" s="30" t="s">
        <v>20</v>
      </c>
      <c r="E506" s="30" t="s">
        <v>21</v>
      </c>
      <c r="F506" s="30" t="s">
        <v>113</v>
      </c>
      <c r="G506" s="30" t="s">
        <v>79</v>
      </c>
      <c r="H506" s="30" t="s">
        <v>42</v>
      </c>
      <c r="I506" s="31">
        <v>44713.0</v>
      </c>
      <c r="J506" s="32"/>
      <c r="K506" s="33">
        <v>45809.0</v>
      </c>
      <c r="L506" s="30">
        <v>1.0</v>
      </c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29" t="s">
        <v>1310</v>
      </c>
      <c r="B507" s="30" t="s">
        <v>1311</v>
      </c>
      <c r="C507" s="35"/>
      <c r="D507" s="35"/>
      <c r="E507" s="35"/>
      <c r="F507" s="30" t="s">
        <v>1312</v>
      </c>
      <c r="G507" s="30" t="s">
        <v>29</v>
      </c>
      <c r="H507" s="30" t="s">
        <v>36</v>
      </c>
      <c r="I507" s="31">
        <v>45444.0</v>
      </c>
      <c r="J507" s="32"/>
      <c r="K507" s="33">
        <v>46539.0</v>
      </c>
      <c r="L507" s="30">
        <v>1.0</v>
      </c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47" t="s">
        <v>1313</v>
      </c>
      <c r="B508" s="48" t="s">
        <v>398</v>
      </c>
      <c r="C508" s="48" t="s">
        <v>1314</v>
      </c>
      <c r="D508" s="48" t="s">
        <v>46</v>
      </c>
      <c r="E508" s="30" t="s">
        <v>21</v>
      </c>
      <c r="F508" s="49" t="s">
        <v>336</v>
      </c>
      <c r="G508" s="49" t="s">
        <v>85</v>
      </c>
      <c r="H508" s="49" t="s">
        <v>337</v>
      </c>
      <c r="I508" s="31">
        <v>45444.0</v>
      </c>
      <c r="J508" s="32"/>
      <c r="K508" s="33">
        <v>46539.0</v>
      </c>
      <c r="L508" s="30">
        <v>1.0</v>
      </c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29" t="s">
        <v>1315</v>
      </c>
      <c r="B509" s="30" t="s">
        <v>875</v>
      </c>
      <c r="C509" s="30" t="s">
        <v>1316</v>
      </c>
      <c r="D509" s="30" t="s">
        <v>65</v>
      </c>
      <c r="E509" s="30" t="s">
        <v>21</v>
      </c>
      <c r="F509" s="30" t="s">
        <v>667</v>
      </c>
      <c r="G509" s="30" t="s">
        <v>29</v>
      </c>
      <c r="H509" s="30" t="s">
        <v>98</v>
      </c>
      <c r="I509" s="31">
        <v>44713.0</v>
      </c>
      <c r="J509" s="31">
        <v>45809.0</v>
      </c>
      <c r="K509" s="33">
        <v>46905.0</v>
      </c>
      <c r="L509" s="30">
        <v>2.0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29" t="s">
        <v>1317</v>
      </c>
      <c r="B510" s="30" t="s">
        <v>121</v>
      </c>
      <c r="C510" s="35"/>
      <c r="D510" s="35"/>
      <c r="E510" s="35"/>
      <c r="F510" s="30" t="s">
        <v>569</v>
      </c>
      <c r="G510" s="30" t="s">
        <v>91</v>
      </c>
      <c r="H510" s="30" t="s">
        <v>36</v>
      </c>
      <c r="I510" s="31">
        <v>45444.0</v>
      </c>
      <c r="J510" s="32"/>
      <c r="K510" s="33">
        <v>46539.0</v>
      </c>
      <c r="L510" s="30">
        <v>1.0</v>
      </c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29" t="s">
        <v>1318</v>
      </c>
      <c r="B511" s="30" t="s">
        <v>82</v>
      </c>
      <c r="C511" s="30" t="s">
        <v>1319</v>
      </c>
      <c r="D511" s="30" t="s">
        <v>137</v>
      </c>
      <c r="E511" s="30" t="s">
        <v>21</v>
      </c>
      <c r="F511" s="30" t="s">
        <v>243</v>
      </c>
      <c r="G511" s="30">
        <v>2.0</v>
      </c>
      <c r="H511" s="30" t="s">
        <v>244</v>
      </c>
      <c r="I511" s="31">
        <v>45078.0</v>
      </c>
      <c r="J511" s="32"/>
      <c r="K511" s="33">
        <v>46174.0</v>
      </c>
      <c r="L511" s="30">
        <v>1.0</v>
      </c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29" t="s">
        <v>1320</v>
      </c>
      <c r="B512" s="30" t="s">
        <v>281</v>
      </c>
      <c r="C512" s="30" t="s">
        <v>1321</v>
      </c>
      <c r="D512" s="30" t="s">
        <v>84</v>
      </c>
      <c r="E512" s="30" t="s">
        <v>21</v>
      </c>
      <c r="F512" s="30" t="s">
        <v>58</v>
      </c>
      <c r="G512" s="30">
        <v>1.0</v>
      </c>
      <c r="H512" s="30" t="s">
        <v>224</v>
      </c>
      <c r="I512" s="31">
        <v>45078.0</v>
      </c>
      <c r="J512" s="32"/>
      <c r="K512" s="33">
        <v>46174.0</v>
      </c>
      <c r="L512" s="30">
        <v>1.0</v>
      </c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29" t="s">
        <v>1322</v>
      </c>
      <c r="B513" s="30" t="s">
        <v>1323</v>
      </c>
      <c r="C513" s="35"/>
      <c r="D513" s="30" t="s">
        <v>20</v>
      </c>
      <c r="E513" s="30" t="s">
        <v>21</v>
      </c>
      <c r="F513" s="30" t="s">
        <v>243</v>
      </c>
      <c r="G513" s="30">
        <v>2.0</v>
      </c>
      <c r="H513" s="30" t="s">
        <v>23</v>
      </c>
      <c r="I513" s="31">
        <v>45078.0</v>
      </c>
      <c r="J513" s="32"/>
      <c r="K513" s="33">
        <v>46174.0</v>
      </c>
      <c r="L513" s="30">
        <v>1.0</v>
      </c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29" t="s">
        <v>1324</v>
      </c>
      <c r="B514" s="30" t="s">
        <v>587</v>
      </c>
      <c r="C514" s="30" t="s">
        <v>341</v>
      </c>
      <c r="D514" s="30" t="s">
        <v>65</v>
      </c>
      <c r="E514" s="30" t="s">
        <v>21</v>
      </c>
      <c r="F514" s="30" t="s">
        <v>113</v>
      </c>
      <c r="G514" s="30" t="s">
        <v>79</v>
      </c>
      <c r="H514" s="30" t="s">
        <v>318</v>
      </c>
      <c r="I514" s="31">
        <v>44713.0</v>
      </c>
      <c r="J514" s="32"/>
      <c r="K514" s="33">
        <v>45809.0</v>
      </c>
      <c r="L514" s="30">
        <v>1.0</v>
      </c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29" t="s">
        <v>1325</v>
      </c>
      <c r="B515" s="30" t="s">
        <v>93</v>
      </c>
      <c r="C515" s="30" t="s">
        <v>1125</v>
      </c>
      <c r="D515" s="30" t="s">
        <v>57</v>
      </c>
      <c r="E515" s="30" t="s">
        <v>21</v>
      </c>
      <c r="F515" s="30" t="s">
        <v>248</v>
      </c>
      <c r="G515" s="30" t="s">
        <v>79</v>
      </c>
      <c r="H515" s="30" t="s">
        <v>80</v>
      </c>
      <c r="I515" s="31">
        <v>44713.0</v>
      </c>
      <c r="J515" s="32"/>
      <c r="K515" s="33">
        <v>45809.0</v>
      </c>
      <c r="L515" s="30">
        <v>1.0</v>
      </c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29" t="s">
        <v>1326</v>
      </c>
      <c r="B516" s="30" t="s">
        <v>1327</v>
      </c>
      <c r="C516" s="30" t="s">
        <v>1328</v>
      </c>
      <c r="D516" s="30" t="s">
        <v>65</v>
      </c>
      <c r="E516" s="30" t="s">
        <v>21</v>
      </c>
      <c r="F516" s="30" t="s">
        <v>201</v>
      </c>
      <c r="G516" s="30">
        <v>3.0</v>
      </c>
      <c r="H516" s="30" t="s">
        <v>271</v>
      </c>
      <c r="I516" s="31">
        <v>45078.0</v>
      </c>
      <c r="J516" s="32"/>
      <c r="K516" s="33">
        <v>46174.0</v>
      </c>
      <c r="L516" s="30">
        <v>1.0</v>
      </c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29" t="s">
        <v>1329</v>
      </c>
      <c r="B517" s="30" t="s">
        <v>1330</v>
      </c>
      <c r="C517" s="30" t="s">
        <v>1331</v>
      </c>
      <c r="D517" s="30" t="s">
        <v>102</v>
      </c>
      <c r="E517" s="30" t="s">
        <v>21</v>
      </c>
      <c r="F517" s="30" t="s">
        <v>844</v>
      </c>
      <c r="G517" s="30" t="s">
        <v>391</v>
      </c>
      <c r="H517" s="30" t="s">
        <v>36</v>
      </c>
      <c r="I517" s="31">
        <v>45078.0</v>
      </c>
      <c r="J517" s="31">
        <v>46539.0</v>
      </c>
      <c r="K517" s="33">
        <v>47635.0</v>
      </c>
      <c r="L517" s="30">
        <v>2.0</v>
      </c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29" t="s">
        <v>1332</v>
      </c>
      <c r="B518" s="30" t="s">
        <v>251</v>
      </c>
      <c r="C518" s="30" t="s">
        <v>76</v>
      </c>
      <c r="D518" s="30" t="s">
        <v>77</v>
      </c>
      <c r="E518" s="30" t="s">
        <v>21</v>
      </c>
      <c r="F518" s="30" t="s">
        <v>959</v>
      </c>
      <c r="G518" s="30">
        <v>1.0</v>
      </c>
      <c r="H518" s="30" t="s">
        <v>186</v>
      </c>
      <c r="I518" s="31">
        <v>45078.0</v>
      </c>
      <c r="J518" s="32"/>
      <c r="K518" s="33">
        <v>46174.0</v>
      </c>
      <c r="L518" s="30">
        <v>1.0</v>
      </c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29" t="s">
        <v>1333</v>
      </c>
      <c r="B519" s="30" t="s">
        <v>1334</v>
      </c>
      <c r="C519" s="30" t="s">
        <v>1335</v>
      </c>
      <c r="D519" s="30" t="s">
        <v>27</v>
      </c>
      <c r="E519" s="30" t="s">
        <v>21</v>
      </c>
      <c r="F519" s="30" t="s">
        <v>950</v>
      </c>
      <c r="G519" s="30" t="s">
        <v>35</v>
      </c>
      <c r="H519" s="30" t="s">
        <v>36</v>
      </c>
      <c r="I519" s="31">
        <v>45078.0</v>
      </c>
      <c r="J519" s="31">
        <v>46539.0</v>
      </c>
      <c r="K519" s="33">
        <v>47635.0</v>
      </c>
      <c r="L519" s="30">
        <v>2.0</v>
      </c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29" t="s">
        <v>1336</v>
      </c>
      <c r="B520" s="30" t="s">
        <v>183</v>
      </c>
      <c r="C520" s="30" t="s">
        <v>1337</v>
      </c>
      <c r="D520" s="30" t="s">
        <v>266</v>
      </c>
      <c r="E520" s="30" t="s">
        <v>21</v>
      </c>
      <c r="F520" s="30" t="s">
        <v>78</v>
      </c>
      <c r="G520" s="30" t="s">
        <v>79</v>
      </c>
      <c r="H520" s="30" t="s">
        <v>290</v>
      </c>
      <c r="I520" s="31">
        <v>44713.0</v>
      </c>
      <c r="J520" s="32"/>
      <c r="K520" s="33">
        <v>45809.0</v>
      </c>
      <c r="L520" s="30">
        <v>1.0</v>
      </c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29" t="s">
        <v>1338</v>
      </c>
      <c r="B521" s="30" t="s">
        <v>502</v>
      </c>
      <c r="C521" s="30" t="s">
        <v>1109</v>
      </c>
      <c r="D521" s="30" t="s">
        <v>266</v>
      </c>
      <c r="E521" s="30" t="s">
        <v>21</v>
      </c>
      <c r="F521" s="30" t="s">
        <v>47</v>
      </c>
      <c r="G521" s="30">
        <v>3.0</v>
      </c>
      <c r="H521" s="30" t="s">
        <v>279</v>
      </c>
      <c r="I521" s="31">
        <v>45078.0</v>
      </c>
      <c r="J521" s="32"/>
      <c r="K521" s="33">
        <v>46174.0</v>
      </c>
      <c r="L521" s="30">
        <v>1.0</v>
      </c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29" t="s">
        <v>1339</v>
      </c>
      <c r="B522" s="30" t="s">
        <v>287</v>
      </c>
      <c r="C522" s="30" t="s">
        <v>1340</v>
      </c>
      <c r="D522" s="30" t="s">
        <v>266</v>
      </c>
      <c r="E522" s="30" t="s">
        <v>21</v>
      </c>
      <c r="F522" s="30" t="s">
        <v>243</v>
      </c>
      <c r="G522" s="30">
        <v>2.0</v>
      </c>
      <c r="H522" s="30" t="s">
        <v>279</v>
      </c>
      <c r="I522" s="31">
        <v>45078.0</v>
      </c>
      <c r="J522" s="32"/>
      <c r="K522" s="33">
        <v>46174.0</v>
      </c>
      <c r="L522" s="30">
        <v>1.0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47" t="s">
        <v>1341</v>
      </c>
      <c r="B523" s="48" t="s">
        <v>44</v>
      </c>
      <c r="C523" s="48" t="s">
        <v>1342</v>
      </c>
      <c r="D523" s="48" t="s">
        <v>95</v>
      </c>
      <c r="E523" s="30" t="s">
        <v>21</v>
      </c>
      <c r="F523" s="49" t="s">
        <v>1115</v>
      </c>
      <c r="G523" s="49" t="s">
        <v>41</v>
      </c>
      <c r="H523" s="49" t="s">
        <v>337</v>
      </c>
      <c r="I523" s="31">
        <v>45444.0</v>
      </c>
      <c r="J523" s="32"/>
      <c r="K523" s="33">
        <v>46539.0</v>
      </c>
      <c r="L523" s="30">
        <v>1.0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29" t="s">
        <v>1343</v>
      </c>
      <c r="B524" s="30" t="s">
        <v>934</v>
      </c>
      <c r="C524" s="35"/>
      <c r="D524" s="35"/>
      <c r="E524" s="30" t="s">
        <v>21</v>
      </c>
      <c r="F524" s="35"/>
      <c r="G524" s="35"/>
      <c r="H524" s="30" t="s">
        <v>188</v>
      </c>
      <c r="I524" s="31">
        <v>44348.0</v>
      </c>
      <c r="J524" s="32"/>
      <c r="K524" s="33">
        <v>46539.0</v>
      </c>
      <c r="L524" s="30">
        <v>1.0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29" t="s">
        <v>1344</v>
      </c>
      <c r="B525" s="30" t="s">
        <v>1345</v>
      </c>
      <c r="C525" s="30" t="s">
        <v>1346</v>
      </c>
      <c r="D525" s="30" t="s">
        <v>65</v>
      </c>
      <c r="E525" s="30" t="s">
        <v>21</v>
      </c>
      <c r="F525" s="35"/>
      <c r="G525" s="35"/>
      <c r="H525" s="30" t="s">
        <v>188</v>
      </c>
      <c r="I525" s="31">
        <v>44348.0</v>
      </c>
      <c r="J525" s="32"/>
      <c r="K525" s="33">
        <v>46539.0</v>
      </c>
      <c r="L525" s="30">
        <v>1.0</v>
      </c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29" t="s">
        <v>1347</v>
      </c>
      <c r="B526" s="30" t="s">
        <v>131</v>
      </c>
      <c r="C526" s="30" t="s">
        <v>1348</v>
      </c>
      <c r="D526" s="30" t="s">
        <v>1212</v>
      </c>
      <c r="E526" s="30" t="s">
        <v>21</v>
      </c>
      <c r="F526" s="30" t="s">
        <v>243</v>
      </c>
      <c r="G526" s="30">
        <v>2.0</v>
      </c>
      <c r="H526" s="30" t="s">
        <v>202</v>
      </c>
      <c r="I526" s="31">
        <v>45078.0</v>
      </c>
      <c r="J526" s="32"/>
      <c r="K526" s="33">
        <v>46174.0</v>
      </c>
      <c r="L526" s="30">
        <v>1.0</v>
      </c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29" t="s">
        <v>1349</v>
      </c>
      <c r="B527" s="30" t="s">
        <v>1350</v>
      </c>
      <c r="C527" s="30" t="s">
        <v>341</v>
      </c>
      <c r="D527" s="30" t="s">
        <v>65</v>
      </c>
      <c r="E527" s="30" t="s">
        <v>21</v>
      </c>
      <c r="F527" s="30" t="s">
        <v>40</v>
      </c>
      <c r="G527" s="30" t="s">
        <v>41</v>
      </c>
      <c r="H527" s="30" t="s">
        <v>318</v>
      </c>
      <c r="I527" s="31">
        <v>44713.0</v>
      </c>
      <c r="J527" s="32"/>
      <c r="K527" s="33">
        <v>45809.0</v>
      </c>
      <c r="L527" s="30">
        <v>1.0</v>
      </c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29" t="s">
        <v>353</v>
      </c>
      <c r="B528" s="30" t="s">
        <v>1351</v>
      </c>
      <c r="C528" s="30" t="s">
        <v>1352</v>
      </c>
      <c r="D528" s="30" t="s">
        <v>65</v>
      </c>
      <c r="E528" s="30" t="s">
        <v>21</v>
      </c>
      <c r="F528" s="30" t="s">
        <v>243</v>
      </c>
      <c r="G528" s="30">
        <v>1.0</v>
      </c>
      <c r="H528" s="30" t="s">
        <v>271</v>
      </c>
      <c r="I528" s="31">
        <v>45078.0</v>
      </c>
      <c r="J528" s="32"/>
      <c r="K528" s="33">
        <v>46174.0</v>
      </c>
      <c r="L528" s="30">
        <v>1.0</v>
      </c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29" t="s">
        <v>1353</v>
      </c>
      <c r="B529" s="30" t="s">
        <v>1354</v>
      </c>
      <c r="C529" s="30" t="s">
        <v>1355</v>
      </c>
      <c r="D529" s="30" t="s">
        <v>851</v>
      </c>
      <c r="E529" s="30" t="s">
        <v>21</v>
      </c>
      <c r="F529" s="30" t="s">
        <v>770</v>
      </c>
      <c r="G529" s="30">
        <v>2.0</v>
      </c>
      <c r="H529" s="30" t="s">
        <v>48</v>
      </c>
      <c r="I529" s="31">
        <v>45078.0</v>
      </c>
      <c r="J529" s="31">
        <v>46174.0</v>
      </c>
      <c r="K529" s="33">
        <v>47270.0</v>
      </c>
      <c r="L529" s="30">
        <v>2.0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29" t="s">
        <v>1356</v>
      </c>
      <c r="B530" s="30" t="s">
        <v>222</v>
      </c>
      <c r="C530" s="30" t="s">
        <v>1190</v>
      </c>
      <c r="D530" s="30" t="s">
        <v>266</v>
      </c>
      <c r="E530" s="30" t="s">
        <v>21</v>
      </c>
      <c r="F530" s="30" t="s">
        <v>58</v>
      </c>
      <c r="G530" s="30">
        <v>2.0</v>
      </c>
      <c r="H530" s="30" t="s">
        <v>279</v>
      </c>
      <c r="I530" s="31">
        <v>45078.0</v>
      </c>
      <c r="J530" s="32"/>
      <c r="K530" s="33">
        <v>46174.0</v>
      </c>
      <c r="L530" s="30">
        <v>1.0</v>
      </c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41" t="s">
        <v>1357</v>
      </c>
      <c r="B531" s="42" t="s">
        <v>494</v>
      </c>
      <c r="C531" s="43"/>
      <c r="D531" s="43"/>
      <c r="E531" s="43"/>
      <c r="F531" s="42" t="s">
        <v>143</v>
      </c>
      <c r="G531" s="43"/>
      <c r="H531" s="43"/>
      <c r="I531" s="44">
        <v>45444.0</v>
      </c>
      <c r="J531" s="44">
        <v>46539.0</v>
      </c>
      <c r="K531" s="45">
        <v>47635.0</v>
      </c>
      <c r="L531" s="46">
        <v>2.0</v>
      </c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29" t="s">
        <v>1357</v>
      </c>
      <c r="B532" s="30" t="s">
        <v>494</v>
      </c>
      <c r="C532" s="35"/>
      <c r="D532" s="35"/>
      <c r="E532" s="30" t="s">
        <v>21</v>
      </c>
      <c r="F532" s="35"/>
      <c r="G532" s="35"/>
      <c r="H532" s="30" t="s">
        <v>1358</v>
      </c>
      <c r="I532" s="31">
        <v>44348.0</v>
      </c>
      <c r="J532" s="32"/>
      <c r="K532" s="33">
        <v>46539.0</v>
      </c>
      <c r="L532" s="30">
        <v>1.0</v>
      </c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29" t="s">
        <v>1359</v>
      </c>
      <c r="B533" s="30" t="s">
        <v>242</v>
      </c>
      <c r="C533" s="30" t="s">
        <v>1360</v>
      </c>
      <c r="D533" s="30" t="s">
        <v>192</v>
      </c>
      <c r="E533" s="30" t="s">
        <v>21</v>
      </c>
      <c r="F533" s="30" t="s">
        <v>113</v>
      </c>
      <c r="G533" s="30" t="s">
        <v>85</v>
      </c>
      <c r="H533" s="30" t="s">
        <v>80</v>
      </c>
      <c r="I533" s="31">
        <v>44713.0</v>
      </c>
      <c r="J533" s="32"/>
      <c r="K533" s="33">
        <v>45809.0</v>
      </c>
      <c r="L533" s="30">
        <v>1.0</v>
      </c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29" t="s">
        <v>1361</v>
      </c>
      <c r="B534" s="30" t="s">
        <v>1362</v>
      </c>
      <c r="C534" s="30" t="s">
        <v>1363</v>
      </c>
      <c r="D534" s="30" t="s">
        <v>71</v>
      </c>
      <c r="E534" s="30" t="s">
        <v>21</v>
      </c>
      <c r="F534" s="30" t="s">
        <v>491</v>
      </c>
      <c r="G534" s="30" t="s">
        <v>79</v>
      </c>
      <c r="H534" s="30" t="s">
        <v>116</v>
      </c>
      <c r="I534" s="31">
        <v>44713.0</v>
      </c>
      <c r="J534" s="32"/>
      <c r="K534" s="33">
        <v>45809.0</v>
      </c>
      <c r="L534" s="30">
        <v>1.0</v>
      </c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29" t="s">
        <v>1364</v>
      </c>
      <c r="B535" s="30" t="s">
        <v>1365</v>
      </c>
      <c r="C535" s="52"/>
      <c r="D535" s="35"/>
      <c r="E535" s="30" t="s">
        <v>1366</v>
      </c>
      <c r="F535" s="30" t="s">
        <v>1367</v>
      </c>
      <c r="G535" s="30" t="s">
        <v>29</v>
      </c>
      <c r="H535" s="30" t="s">
        <v>124</v>
      </c>
      <c r="I535" s="31">
        <v>43617.0</v>
      </c>
      <c r="J535" s="32"/>
      <c r="K535" s="33">
        <v>45809.0</v>
      </c>
      <c r="L535" s="30">
        <v>1.0</v>
      </c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29" t="s">
        <v>1368</v>
      </c>
      <c r="B536" s="30" t="s">
        <v>1369</v>
      </c>
      <c r="C536" s="30" t="s">
        <v>282</v>
      </c>
      <c r="D536" s="30" t="s">
        <v>20</v>
      </c>
      <c r="E536" s="30" t="s">
        <v>21</v>
      </c>
      <c r="F536" s="30" t="s">
        <v>243</v>
      </c>
      <c r="G536" s="30">
        <v>1.0</v>
      </c>
      <c r="H536" s="30" t="s">
        <v>23</v>
      </c>
      <c r="I536" s="31">
        <v>45078.0</v>
      </c>
      <c r="J536" s="32"/>
      <c r="K536" s="33">
        <v>46174.0</v>
      </c>
      <c r="L536" s="30">
        <v>1.0</v>
      </c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29" t="s">
        <v>1370</v>
      </c>
      <c r="B537" s="30" t="s">
        <v>1371</v>
      </c>
      <c r="C537" s="30" t="s">
        <v>1372</v>
      </c>
      <c r="D537" s="30" t="s">
        <v>851</v>
      </c>
      <c r="E537" s="30" t="s">
        <v>21</v>
      </c>
      <c r="F537" s="30" t="s">
        <v>301</v>
      </c>
      <c r="G537" s="30">
        <v>4.0</v>
      </c>
      <c r="H537" s="30" t="s">
        <v>48</v>
      </c>
      <c r="I537" s="31">
        <v>45078.0</v>
      </c>
      <c r="J537" s="32"/>
      <c r="K537" s="33">
        <v>46174.0</v>
      </c>
      <c r="L537" s="30">
        <v>1.0</v>
      </c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29" t="s">
        <v>1370</v>
      </c>
      <c r="B538" s="30" t="s">
        <v>365</v>
      </c>
      <c r="C538" s="30" t="s">
        <v>1373</v>
      </c>
      <c r="D538" s="30" t="s">
        <v>185</v>
      </c>
      <c r="E538" s="30" t="s">
        <v>21</v>
      </c>
      <c r="F538" s="30" t="s">
        <v>959</v>
      </c>
      <c r="G538" s="30">
        <v>3.0</v>
      </c>
      <c r="H538" s="30" t="s">
        <v>186</v>
      </c>
      <c r="I538" s="31">
        <v>45078.0</v>
      </c>
      <c r="J538" s="32"/>
      <c r="K538" s="33">
        <v>46174.0</v>
      </c>
      <c r="L538" s="30">
        <v>1.0</v>
      </c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29" t="s">
        <v>1374</v>
      </c>
      <c r="B539" s="30" t="s">
        <v>502</v>
      </c>
      <c r="C539" s="30" t="s">
        <v>1375</v>
      </c>
      <c r="D539" s="30" t="s">
        <v>163</v>
      </c>
      <c r="E539" s="30" t="s">
        <v>21</v>
      </c>
      <c r="F539" s="30" t="s">
        <v>47</v>
      </c>
      <c r="G539" s="30">
        <v>2.0</v>
      </c>
      <c r="H539" s="30" t="s">
        <v>960</v>
      </c>
      <c r="I539" s="31">
        <v>45078.0</v>
      </c>
      <c r="J539" s="32"/>
      <c r="K539" s="33">
        <v>46174.0</v>
      </c>
      <c r="L539" s="30">
        <v>1.0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29" t="s">
        <v>1376</v>
      </c>
      <c r="B540" s="30" t="s">
        <v>456</v>
      </c>
      <c r="C540" s="35"/>
      <c r="D540" s="35"/>
      <c r="E540" s="30" t="s">
        <v>21</v>
      </c>
      <c r="F540" s="35"/>
      <c r="G540" s="35"/>
      <c r="H540" s="30" t="s">
        <v>188</v>
      </c>
      <c r="I540" s="31">
        <v>44348.0</v>
      </c>
      <c r="J540" s="32"/>
      <c r="K540" s="33">
        <v>46539.0</v>
      </c>
      <c r="L540" s="30">
        <v>1.0</v>
      </c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29" t="s">
        <v>1377</v>
      </c>
      <c r="B541" s="30" t="s">
        <v>1008</v>
      </c>
      <c r="C541" s="30" t="s">
        <v>341</v>
      </c>
      <c r="D541" s="30" t="s">
        <v>65</v>
      </c>
      <c r="E541" s="30" t="s">
        <v>21</v>
      </c>
      <c r="F541" s="30" t="s">
        <v>113</v>
      </c>
      <c r="G541" s="30" t="s">
        <v>79</v>
      </c>
      <c r="H541" s="30" t="s">
        <v>318</v>
      </c>
      <c r="I541" s="31">
        <v>44713.0</v>
      </c>
      <c r="J541" s="32"/>
      <c r="K541" s="33">
        <v>45809.0</v>
      </c>
      <c r="L541" s="30">
        <v>1.0</v>
      </c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29" t="s">
        <v>1378</v>
      </c>
      <c r="B542" s="30" t="s">
        <v>385</v>
      </c>
      <c r="C542" s="30" t="s">
        <v>1379</v>
      </c>
      <c r="D542" s="30" t="s">
        <v>595</v>
      </c>
      <c r="E542" s="30" t="s">
        <v>21</v>
      </c>
      <c r="F542" s="30" t="s">
        <v>201</v>
      </c>
      <c r="G542" s="30">
        <v>1.0</v>
      </c>
      <c r="H542" s="30" t="s">
        <v>224</v>
      </c>
      <c r="I542" s="31">
        <v>45078.0</v>
      </c>
      <c r="J542" s="32"/>
      <c r="K542" s="33">
        <v>46174.0</v>
      </c>
      <c r="L542" s="30">
        <v>1.0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29" t="s">
        <v>1380</v>
      </c>
      <c r="B543" s="30" t="s">
        <v>1381</v>
      </c>
      <c r="C543" s="30" t="s">
        <v>1079</v>
      </c>
      <c r="D543" s="30" t="s">
        <v>65</v>
      </c>
      <c r="E543" s="30" t="s">
        <v>21</v>
      </c>
      <c r="F543" s="30" t="s">
        <v>289</v>
      </c>
      <c r="G543" s="30" t="s">
        <v>79</v>
      </c>
      <c r="H543" s="30" t="s">
        <v>42</v>
      </c>
      <c r="I543" s="31">
        <v>44713.0</v>
      </c>
      <c r="J543" s="32"/>
      <c r="K543" s="33">
        <v>45809.0</v>
      </c>
      <c r="L543" s="30">
        <v>1.0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29" t="s">
        <v>1382</v>
      </c>
      <c r="B544" s="30" t="s">
        <v>414</v>
      </c>
      <c r="C544" s="30" t="s">
        <v>1383</v>
      </c>
      <c r="D544" s="30" t="s">
        <v>102</v>
      </c>
      <c r="E544" s="30" t="s">
        <v>21</v>
      </c>
      <c r="F544" s="30" t="s">
        <v>1384</v>
      </c>
      <c r="G544" s="30" t="s">
        <v>79</v>
      </c>
      <c r="H544" s="30" t="s">
        <v>98</v>
      </c>
      <c r="I544" s="31">
        <v>44713.0</v>
      </c>
      <c r="J544" s="31">
        <v>45809.0</v>
      </c>
      <c r="K544" s="33">
        <v>46905.0</v>
      </c>
      <c r="L544" s="30">
        <v>2.0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29" t="s">
        <v>1385</v>
      </c>
      <c r="B545" s="30" t="s">
        <v>131</v>
      </c>
      <c r="C545" s="30" t="s">
        <v>1386</v>
      </c>
      <c r="D545" s="30" t="s">
        <v>185</v>
      </c>
      <c r="E545" s="30" t="s">
        <v>21</v>
      </c>
      <c r="F545" s="30" t="s">
        <v>959</v>
      </c>
      <c r="G545" s="30">
        <v>3.0</v>
      </c>
      <c r="H545" s="30" t="s">
        <v>186</v>
      </c>
      <c r="I545" s="31">
        <v>45078.0</v>
      </c>
      <c r="J545" s="32"/>
      <c r="K545" s="33">
        <v>46174.0</v>
      </c>
      <c r="L545" s="30">
        <v>1.0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29" t="s">
        <v>1387</v>
      </c>
      <c r="B546" s="30" t="s">
        <v>60</v>
      </c>
      <c r="C546" s="30" t="s">
        <v>1388</v>
      </c>
      <c r="D546" s="30" t="s">
        <v>20</v>
      </c>
      <c r="E546" s="30" t="s">
        <v>21</v>
      </c>
      <c r="F546" s="30" t="s">
        <v>40</v>
      </c>
      <c r="G546" s="30" t="s">
        <v>41</v>
      </c>
      <c r="H546" s="30" t="s">
        <v>42</v>
      </c>
      <c r="I546" s="31">
        <v>44713.0</v>
      </c>
      <c r="J546" s="32"/>
      <c r="K546" s="33">
        <v>45809.0</v>
      </c>
      <c r="L546" s="30">
        <v>1.0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29" t="s">
        <v>1389</v>
      </c>
      <c r="B547" s="30" t="s">
        <v>552</v>
      </c>
      <c r="C547" s="35"/>
      <c r="D547" s="35"/>
      <c r="E547" s="30" t="s">
        <v>21</v>
      </c>
      <c r="F547" s="30" t="s">
        <v>66</v>
      </c>
      <c r="G547" s="30" t="s">
        <v>391</v>
      </c>
      <c r="H547" s="30" t="s">
        <v>36</v>
      </c>
      <c r="I547" s="31">
        <v>45444.0</v>
      </c>
      <c r="J547" s="32"/>
      <c r="K547" s="33">
        <v>46539.0</v>
      </c>
      <c r="L547" s="30">
        <v>1.0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29" t="s">
        <v>1390</v>
      </c>
      <c r="B548" s="30" t="s">
        <v>510</v>
      </c>
      <c r="C548" s="30" t="s">
        <v>1391</v>
      </c>
      <c r="D548" s="30" t="s">
        <v>1392</v>
      </c>
      <c r="E548" s="30" t="s">
        <v>21</v>
      </c>
      <c r="F548" s="42" t="s">
        <v>143</v>
      </c>
      <c r="G548" s="43"/>
      <c r="H548" s="43"/>
      <c r="I548" s="44">
        <v>45444.0</v>
      </c>
      <c r="J548" s="44">
        <v>46539.0</v>
      </c>
      <c r="K548" s="45">
        <v>47635.0</v>
      </c>
      <c r="L548" s="46">
        <v>2.0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29" t="s">
        <v>1393</v>
      </c>
      <c r="B549" s="30" t="s">
        <v>1394</v>
      </c>
      <c r="C549" s="35"/>
      <c r="D549" s="35"/>
      <c r="E549" s="30" t="s">
        <v>21</v>
      </c>
      <c r="F549" s="30" t="s">
        <v>822</v>
      </c>
      <c r="G549" s="30" t="s">
        <v>91</v>
      </c>
      <c r="H549" s="30" t="s">
        <v>36</v>
      </c>
      <c r="I549" s="31">
        <v>45444.0</v>
      </c>
      <c r="J549" s="32"/>
      <c r="K549" s="33">
        <v>46539.0</v>
      </c>
      <c r="L549" s="30">
        <v>1.0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29" t="s">
        <v>1395</v>
      </c>
      <c r="B550" s="30" t="s">
        <v>309</v>
      </c>
      <c r="C550" s="30" t="s">
        <v>1396</v>
      </c>
      <c r="D550" s="30" t="s">
        <v>57</v>
      </c>
      <c r="E550" s="30" t="s">
        <v>21</v>
      </c>
      <c r="F550" s="30" t="s">
        <v>1115</v>
      </c>
      <c r="G550" s="30" t="s">
        <v>85</v>
      </c>
      <c r="H550" s="30" t="s">
        <v>1058</v>
      </c>
      <c r="I550" s="31">
        <v>45444.0</v>
      </c>
      <c r="J550" s="31">
        <v>46174.0</v>
      </c>
      <c r="K550" s="33">
        <v>47270.0</v>
      </c>
      <c r="L550" s="30">
        <v>2.0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29" t="s">
        <v>1397</v>
      </c>
      <c r="B551" s="30" t="s">
        <v>855</v>
      </c>
      <c r="C551" s="30" t="s">
        <v>1398</v>
      </c>
      <c r="D551" s="30" t="s">
        <v>152</v>
      </c>
      <c r="E551" s="30" t="s">
        <v>21</v>
      </c>
      <c r="F551" s="30" t="s">
        <v>58</v>
      </c>
      <c r="G551" s="30">
        <v>1.0</v>
      </c>
      <c r="H551" s="30" t="s">
        <v>202</v>
      </c>
      <c r="I551" s="31">
        <v>45078.0</v>
      </c>
      <c r="J551" s="32"/>
      <c r="K551" s="33">
        <v>46174.0</v>
      </c>
      <c r="L551" s="30">
        <v>1.0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29" t="s">
        <v>1399</v>
      </c>
      <c r="B552" s="30" t="s">
        <v>293</v>
      </c>
      <c r="C552" s="30" t="s">
        <v>1400</v>
      </c>
      <c r="D552" s="30" t="s">
        <v>163</v>
      </c>
      <c r="E552" s="30" t="s">
        <v>21</v>
      </c>
      <c r="F552" s="30" t="s">
        <v>113</v>
      </c>
      <c r="G552" s="30" t="s">
        <v>85</v>
      </c>
      <c r="H552" s="30" t="s">
        <v>86</v>
      </c>
      <c r="I552" s="31">
        <v>44713.0</v>
      </c>
      <c r="J552" s="32"/>
      <c r="K552" s="33">
        <v>45809.0</v>
      </c>
      <c r="L552" s="30">
        <v>1.0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29" t="s">
        <v>1401</v>
      </c>
      <c r="B553" s="30" t="s">
        <v>1402</v>
      </c>
      <c r="C553" s="30" t="s">
        <v>1403</v>
      </c>
      <c r="D553" s="30" t="s">
        <v>266</v>
      </c>
      <c r="E553" s="30" t="s">
        <v>21</v>
      </c>
      <c r="F553" s="30" t="s">
        <v>680</v>
      </c>
      <c r="G553" s="30" t="s">
        <v>97</v>
      </c>
      <c r="H553" s="30" t="s">
        <v>98</v>
      </c>
      <c r="I553" s="31">
        <v>44713.0</v>
      </c>
      <c r="J553" s="32"/>
      <c r="K553" s="33">
        <v>45809.0</v>
      </c>
      <c r="L553" s="30">
        <v>1.0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29" t="s">
        <v>1404</v>
      </c>
      <c r="B554" s="30" t="s">
        <v>1405</v>
      </c>
      <c r="C554" s="30" t="s">
        <v>1406</v>
      </c>
      <c r="D554" s="30" t="s">
        <v>20</v>
      </c>
      <c r="E554" s="30" t="s">
        <v>21</v>
      </c>
      <c r="F554" s="30" t="s">
        <v>248</v>
      </c>
      <c r="G554" s="30" t="s">
        <v>85</v>
      </c>
      <c r="H554" s="30" t="s">
        <v>42</v>
      </c>
      <c r="I554" s="31">
        <v>44713.0</v>
      </c>
      <c r="J554" s="32"/>
      <c r="K554" s="33">
        <v>45809.0</v>
      </c>
      <c r="L554" s="30">
        <v>1.0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29" t="s">
        <v>1407</v>
      </c>
      <c r="B555" s="30" t="s">
        <v>1071</v>
      </c>
      <c r="C555" s="30" t="s">
        <v>1408</v>
      </c>
      <c r="D555" s="30" t="s">
        <v>20</v>
      </c>
      <c r="E555" s="30" t="s">
        <v>21</v>
      </c>
      <c r="F555" s="30" t="s">
        <v>78</v>
      </c>
      <c r="G555" s="30" t="s">
        <v>79</v>
      </c>
      <c r="H555" s="30" t="s">
        <v>42</v>
      </c>
      <c r="I555" s="31">
        <v>44713.0</v>
      </c>
      <c r="J555" s="32"/>
      <c r="K555" s="33">
        <v>45809.0</v>
      </c>
      <c r="L555" s="30">
        <v>1.0</v>
      </c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29" t="s">
        <v>1409</v>
      </c>
      <c r="B556" s="30" t="s">
        <v>1410</v>
      </c>
      <c r="C556" s="30" t="s">
        <v>1411</v>
      </c>
      <c r="D556" s="30" t="s">
        <v>851</v>
      </c>
      <c r="E556" s="30" t="s">
        <v>21</v>
      </c>
      <c r="F556" s="30" t="s">
        <v>1384</v>
      </c>
      <c r="G556" s="30" t="s">
        <v>79</v>
      </c>
      <c r="H556" s="30" t="s">
        <v>98</v>
      </c>
      <c r="I556" s="31">
        <v>44713.0</v>
      </c>
      <c r="J556" s="31">
        <v>45809.0</v>
      </c>
      <c r="K556" s="33">
        <v>46905.0</v>
      </c>
      <c r="L556" s="30">
        <v>2.0</v>
      </c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29" t="s">
        <v>1412</v>
      </c>
      <c r="B557" s="30" t="s">
        <v>1030</v>
      </c>
      <c r="C557" s="30" t="s">
        <v>1413</v>
      </c>
      <c r="D557" s="30" t="s">
        <v>851</v>
      </c>
      <c r="E557" s="30" t="s">
        <v>21</v>
      </c>
      <c r="F557" s="30" t="s">
        <v>113</v>
      </c>
      <c r="G557" s="30" t="s">
        <v>85</v>
      </c>
      <c r="H557" s="30" t="s">
        <v>249</v>
      </c>
      <c r="I557" s="31">
        <v>44713.0</v>
      </c>
      <c r="J557" s="32"/>
      <c r="K557" s="33">
        <v>45809.0</v>
      </c>
      <c r="L557" s="30">
        <v>1.0</v>
      </c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29" t="s">
        <v>1414</v>
      </c>
      <c r="B558" s="30" t="s">
        <v>131</v>
      </c>
      <c r="C558" s="30" t="s">
        <v>1415</v>
      </c>
      <c r="D558" s="30" t="s">
        <v>311</v>
      </c>
      <c r="E558" s="30" t="s">
        <v>21</v>
      </c>
      <c r="F558" s="30" t="s">
        <v>547</v>
      </c>
      <c r="G558" s="30">
        <v>1.0</v>
      </c>
      <c r="H558" s="30" t="s">
        <v>1416</v>
      </c>
      <c r="I558" s="31">
        <v>45078.0</v>
      </c>
      <c r="J558" s="32"/>
      <c r="K558" s="33">
        <v>46174.0</v>
      </c>
      <c r="L558" s="30">
        <v>1.0</v>
      </c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29" t="s">
        <v>1417</v>
      </c>
      <c r="B559" s="30" t="s">
        <v>678</v>
      </c>
      <c r="C559" s="30" t="s">
        <v>1418</v>
      </c>
      <c r="D559" s="30" t="s">
        <v>65</v>
      </c>
      <c r="E559" s="30" t="s">
        <v>21</v>
      </c>
      <c r="F559" s="30" t="s">
        <v>78</v>
      </c>
      <c r="G559" s="30" t="s">
        <v>41</v>
      </c>
      <c r="H559" s="30" t="s">
        <v>42</v>
      </c>
      <c r="I559" s="31">
        <v>44713.0</v>
      </c>
      <c r="J559" s="32"/>
      <c r="K559" s="33">
        <v>45809.0</v>
      </c>
      <c r="L559" s="30">
        <v>1.0</v>
      </c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29" t="s">
        <v>1419</v>
      </c>
      <c r="B560" s="30" t="s">
        <v>25</v>
      </c>
      <c r="C560" s="35"/>
      <c r="D560" s="30" t="s">
        <v>305</v>
      </c>
      <c r="E560" s="30" t="s">
        <v>585</v>
      </c>
      <c r="F560" s="30" t="s">
        <v>267</v>
      </c>
      <c r="G560" s="35"/>
      <c r="H560" s="30" t="s">
        <v>30</v>
      </c>
      <c r="I560" s="31">
        <v>36892.0</v>
      </c>
      <c r="J560" s="32"/>
      <c r="K560" s="33">
        <v>47635.0</v>
      </c>
      <c r="L560" s="30">
        <v>1.0</v>
      </c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29" t="s">
        <v>1420</v>
      </c>
      <c r="B561" s="30" t="s">
        <v>485</v>
      </c>
      <c r="C561" s="30" t="s">
        <v>1421</v>
      </c>
      <c r="D561" s="30" t="s">
        <v>20</v>
      </c>
      <c r="E561" s="30" t="s">
        <v>21</v>
      </c>
      <c r="F561" s="30" t="s">
        <v>667</v>
      </c>
      <c r="G561" s="30" t="s">
        <v>41</v>
      </c>
      <c r="H561" s="30" t="s">
        <v>98</v>
      </c>
      <c r="I561" s="31">
        <v>44713.0</v>
      </c>
      <c r="J561" s="31">
        <v>45809.0</v>
      </c>
      <c r="K561" s="33">
        <v>46905.0</v>
      </c>
      <c r="L561" s="30">
        <v>2.0</v>
      </c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29" t="s">
        <v>1422</v>
      </c>
      <c r="B562" s="30" t="s">
        <v>349</v>
      </c>
      <c r="C562" s="30" t="s">
        <v>1423</v>
      </c>
      <c r="D562" s="30" t="s">
        <v>266</v>
      </c>
      <c r="E562" s="30" t="s">
        <v>21</v>
      </c>
      <c r="F562" s="30" t="s">
        <v>196</v>
      </c>
      <c r="G562" s="30" t="s">
        <v>35</v>
      </c>
      <c r="H562" s="30" t="s">
        <v>36</v>
      </c>
      <c r="I562" s="31">
        <v>45078.0</v>
      </c>
      <c r="J562" s="31">
        <v>46539.0</v>
      </c>
      <c r="K562" s="33">
        <v>47635.0</v>
      </c>
      <c r="L562" s="30">
        <v>2.0</v>
      </c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29" t="s">
        <v>1424</v>
      </c>
      <c r="B563" s="30" t="s">
        <v>1003</v>
      </c>
      <c r="C563" s="30" t="s">
        <v>1425</v>
      </c>
      <c r="D563" s="30" t="s">
        <v>57</v>
      </c>
      <c r="E563" s="30" t="s">
        <v>21</v>
      </c>
      <c r="F563" s="30" t="s">
        <v>1057</v>
      </c>
      <c r="G563" s="30" t="s">
        <v>79</v>
      </c>
      <c r="H563" s="30" t="s">
        <v>1058</v>
      </c>
      <c r="I563" s="31">
        <v>45444.0</v>
      </c>
      <c r="J563" s="32"/>
      <c r="K563" s="33">
        <v>46539.0</v>
      </c>
      <c r="L563" s="30">
        <v>1.0</v>
      </c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29" t="s">
        <v>1426</v>
      </c>
      <c r="B564" s="30" t="s">
        <v>1427</v>
      </c>
      <c r="C564" s="30" t="s">
        <v>594</v>
      </c>
      <c r="D564" s="30" t="s">
        <v>595</v>
      </c>
      <c r="E564" s="30" t="s">
        <v>21</v>
      </c>
      <c r="F564" s="30" t="s">
        <v>47</v>
      </c>
      <c r="G564" s="30">
        <v>3.0</v>
      </c>
      <c r="H564" s="30" t="s">
        <v>224</v>
      </c>
      <c r="I564" s="31">
        <v>45078.0</v>
      </c>
      <c r="J564" s="32"/>
      <c r="K564" s="33">
        <v>46174.0</v>
      </c>
      <c r="L564" s="30">
        <v>1.0</v>
      </c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29" t="s">
        <v>1428</v>
      </c>
      <c r="B565" s="30" t="s">
        <v>437</v>
      </c>
      <c r="C565" s="35"/>
      <c r="D565" s="35"/>
      <c r="E565" s="35"/>
      <c r="F565" s="30" t="s">
        <v>34</v>
      </c>
      <c r="G565" s="30" t="s">
        <v>457</v>
      </c>
      <c r="H565" s="30" t="s">
        <v>36</v>
      </c>
      <c r="I565" s="31">
        <v>45444.0</v>
      </c>
      <c r="J565" s="32"/>
      <c r="K565" s="33">
        <v>46539.0</v>
      </c>
      <c r="L565" s="30">
        <v>1.0</v>
      </c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29" t="s">
        <v>1429</v>
      </c>
      <c r="B566" s="30" t="s">
        <v>1430</v>
      </c>
      <c r="C566" s="30" t="s">
        <v>1193</v>
      </c>
      <c r="D566" s="30" t="s">
        <v>95</v>
      </c>
      <c r="E566" s="30" t="s">
        <v>21</v>
      </c>
      <c r="F566" s="30" t="s">
        <v>78</v>
      </c>
      <c r="G566" s="30" t="s">
        <v>79</v>
      </c>
      <c r="H566" s="30" t="s">
        <v>116</v>
      </c>
      <c r="I566" s="31">
        <v>44713.0</v>
      </c>
      <c r="J566" s="32"/>
      <c r="K566" s="33">
        <v>45809.0</v>
      </c>
      <c r="L566" s="30">
        <v>1.0</v>
      </c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29" t="s">
        <v>1431</v>
      </c>
      <c r="B567" s="30" t="s">
        <v>355</v>
      </c>
      <c r="C567" s="30" t="s">
        <v>1432</v>
      </c>
      <c r="D567" s="30" t="s">
        <v>84</v>
      </c>
      <c r="E567" s="30" t="s">
        <v>21</v>
      </c>
      <c r="F567" s="30" t="s">
        <v>530</v>
      </c>
      <c r="G567" s="30" t="s">
        <v>85</v>
      </c>
      <c r="H567" s="30" t="s">
        <v>337</v>
      </c>
      <c r="I567" s="31">
        <v>45444.0</v>
      </c>
      <c r="J567" s="32"/>
      <c r="K567" s="33">
        <v>46539.0</v>
      </c>
      <c r="L567" s="30">
        <v>1.0</v>
      </c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29" t="s">
        <v>1433</v>
      </c>
      <c r="B568" s="30" t="s">
        <v>1030</v>
      </c>
      <c r="C568" s="30" t="s">
        <v>1434</v>
      </c>
      <c r="D568" s="30" t="s">
        <v>46</v>
      </c>
      <c r="E568" s="30" t="s">
        <v>21</v>
      </c>
      <c r="F568" s="30" t="s">
        <v>243</v>
      </c>
      <c r="G568" s="30">
        <v>1.0</v>
      </c>
      <c r="H568" s="30" t="s">
        <v>279</v>
      </c>
      <c r="I568" s="31">
        <v>45078.0</v>
      </c>
      <c r="J568" s="32"/>
      <c r="K568" s="33">
        <v>46174.0</v>
      </c>
      <c r="L568" s="30">
        <v>1.0</v>
      </c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29" t="s">
        <v>1435</v>
      </c>
      <c r="B569" s="30" t="s">
        <v>296</v>
      </c>
      <c r="C569" s="30" t="s">
        <v>1242</v>
      </c>
      <c r="D569" s="35"/>
      <c r="E569" s="30" t="s">
        <v>177</v>
      </c>
      <c r="F569" s="30" t="s">
        <v>47</v>
      </c>
      <c r="G569" s="30">
        <v>1.0</v>
      </c>
      <c r="H569" s="30" t="s">
        <v>186</v>
      </c>
      <c r="I569" s="31">
        <v>45078.0</v>
      </c>
      <c r="J569" s="32"/>
      <c r="K569" s="33">
        <v>46174.0</v>
      </c>
      <c r="L569" s="30">
        <v>1.0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29" t="s">
        <v>1436</v>
      </c>
      <c r="B570" s="30" t="s">
        <v>414</v>
      </c>
      <c r="C570" s="30" t="s">
        <v>1437</v>
      </c>
      <c r="D570" s="30" t="s">
        <v>27</v>
      </c>
      <c r="E570" s="30" t="s">
        <v>21</v>
      </c>
      <c r="F570" s="30" t="s">
        <v>231</v>
      </c>
      <c r="G570" s="30" t="s">
        <v>91</v>
      </c>
      <c r="H570" s="30" t="s">
        <v>36</v>
      </c>
      <c r="I570" s="31">
        <v>44713.0</v>
      </c>
      <c r="J570" s="31">
        <v>46539.0</v>
      </c>
      <c r="K570" s="33">
        <v>47635.0</v>
      </c>
      <c r="L570" s="30">
        <v>2.0</v>
      </c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47" t="s">
        <v>1438</v>
      </c>
      <c r="B571" s="48" t="s">
        <v>1116</v>
      </c>
      <c r="C571" s="48" t="s">
        <v>1439</v>
      </c>
      <c r="D571" s="48" t="s">
        <v>57</v>
      </c>
      <c r="E571" s="30" t="s">
        <v>21</v>
      </c>
      <c r="F571" s="49" t="s">
        <v>1115</v>
      </c>
      <c r="G571" s="49" t="s">
        <v>41</v>
      </c>
      <c r="H571" s="49" t="s">
        <v>1058</v>
      </c>
      <c r="I571" s="31">
        <v>45444.0</v>
      </c>
      <c r="J571" s="32"/>
      <c r="K571" s="33">
        <v>46539.0</v>
      </c>
      <c r="L571" s="30">
        <v>1.0</v>
      </c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29" t="s">
        <v>1440</v>
      </c>
      <c r="B572" s="30" t="s">
        <v>714</v>
      </c>
      <c r="C572" s="35"/>
      <c r="D572" s="30" t="s">
        <v>305</v>
      </c>
      <c r="E572" s="30" t="s">
        <v>585</v>
      </c>
      <c r="F572" s="30" t="s">
        <v>267</v>
      </c>
      <c r="G572" s="51"/>
      <c r="H572" s="30" t="s">
        <v>30</v>
      </c>
      <c r="I572" s="31">
        <v>36892.0</v>
      </c>
      <c r="J572" s="32"/>
      <c r="K572" s="33">
        <v>47635.0</v>
      </c>
      <c r="L572" s="30">
        <v>1.0</v>
      </c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29" t="s">
        <v>1441</v>
      </c>
      <c r="B573" s="30" t="s">
        <v>44</v>
      </c>
      <c r="C573" s="30" t="s">
        <v>916</v>
      </c>
      <c r="D573" s="30" t="s">
        <v>95</v>
      </c>
      <c r="E573" s="30" t="s">
        <v>21</v>
      </c>
      <c r="F573" s="30" t="s">
        <v>351</v>
      </c>
      <c r="G573" s="30">
        <v>1.0</v>
      </c>
      <c r="H573" s="30" t="s">
        <v>224</v>
      </c>
      <c r="I573" s="31">
        <v>45078.0</v>
      </c>
      <c r="J573" s="32"/>
      <c r="K573" s="33">
        <v>46174.0</v>
      </c>
      <c r="L573" s="30">
        <v>1.0</v>
      </c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29" t="s">
        <v>1442</v>
      </c>
      <c r="B574" s="30" t="s">
        <v>1443</v>
      </c>
      <c r="C574" s="30" t="s">
        <v>1444</v>
      </c>
      <c r="D574" s="30" t="s">
        <v>46</v>
      </c>
      <c r="E574" s="30" t="s">
        <v>21</v>
      </c>
      <c r="F574" s="30" t="s">
        <v>40</v>
      </c>
      <c r="G574" s="30" t="s">
        <v>41</v>
      </c>
      <c r="H574" s="30" t="s">
        <v>133</v>
      </c>
      <c r="I574" s="31">
        <v>44713.0</v>
      </c>
      <c r="J574" s="32"/>
      <c r="K574" s="33">
        <v>45809.0</v>
      </c>
      <c r="L574" s="30">
        <v>1.0</v>
      </c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29" t="s">
        <v>1445</v>
      </c>
      <c r="B575" s="30" t="s">
        <v>296</v>
      </c>
      <c r="C575" s="30" t="s">
        <v>1446</v>
      </c>
      <c r="D575" s="30" t="s">
        <v>152</v>
      </c>
      <c r="E575" s="30" t="s">
        <v>21</v>
      </c>
      <c r="F575" s="30" t="s">
        <v>248</v>
      </c>
      <c r="G575" s="30" t="s">
        <v>85</v>
      </c>
      <c r="H575" s="30" t="s">
        <v>133</v>
      </c>
      <c r="I575" s="31">
        <v>44713.0</v>
      </c>
      <c r="J575" s="32"/>
      <c r="K575" s="33">
        <v>45809.0</v>
      </c>
      <c r="L575" s="30">
        <v>1.0</v>
      </c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29" t="s">
        <v>1447</v>
      </c>
      <c r="B576" s="30" t="s">
        <v>1448</v>
      </c>
      <c r="C576" s="30" t="s">
        <v>1319</v>
      </c>
      <c r="D576" s="30" t="s">
        <v>137</v>
      </c>
      <c r="E576" s="30" t="s">
        <v>21</v>
      </c>
      <c r="F576" s="30" t="s">
        <v>78</v>
      </c>
      <c r="G576" s="30" t="s">
        <v>85</v>
      </c>
      <c r="H576" s="30" t="s">
        <v>285</v>
      </c>
      <c r="I576" s="31">
        <v>44713.0</v>
      </c>
      <c r="J576" s="32"/>
      <c r="K576" s="33">
        <v>45809.0</v>
      </c>
      <c r="L576" s="30">
        <v>1.0</v>
      </c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29" t="s">
        <v>1449</v>
      </c>
      <c r="B577" s="30" t="s">
        <v>1450</v>
      </c>
      <c r="C577" s="30" t="s">
        <v>1451</v>
      </c>
      <c r="D577" s="30" t="s">
        <v>27</v>
      </c>
      <c r="E577" s="30" t="s">
        <v>21</v>
      </c>
      <c r="F577" s="30" t="s">
        <v>22</v>
      </c>
      <c r="G577" s="30">
        <v>3.0</v>
      </c>
      <c r="H577" s="30" t="s">
        <v>206</v>
      </c>
      <c r="I577" s="31">
        <v>45078.0</v>
      </c>
      <c r="J577" s="32"/>
      <c r="K577" s="33">
        <v>46174.0</v>
      </c>
      <c r="L577" s="30">
        <v>1.0</v>
      </c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29" t="s">
        <v>1452</v>
      </c>
      <c r="B578" s="30" t="s">
        <v>1453</v>
      </c>
      <c r="C578" s="30" t="s">
        <v>1454</v>
      </c>
      <c r="D578" s="30" t="s">
        <v>128</v>
      </c>
      <c r="E578" s="30" t="s">
        <v>21</v>
      </c>
      <c r="F578" s="30" t="s">
        <v>289</v>
      </c>
      <c r="G578" s="30" t="s">
        <v>79</v>
      </c>
      <c r="H578" s="30" t="s">
        <v>249</v>
      </c>
      <c r="I578" s="31">
        <v>44713.0</v>
      </c>
      <c r="J578" s="32"/>
      <c r="K578" s="33">
        <v>45809.0</v>
      </c>
      <c r="L578" s="30">
        <v>1.0</v>
      </c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29" t="s">
        <v>1455</v>
      </c>
      <c r="B579" s="30" t="s">
        <v>1456</v>
      </c>
      <c r="C579" s="30" t="s">
        <v>1457</v>
      </c>
      <c r="D579" s="30" t="s">
        <v>1212</v>
      </c>
      <c r="E579" s="30" t="s">
        <v>21</v>
      </c>
      <c r="F579" s="30" t="s">
        <v>387</v>
      </c>
      <c r="G579" s="30" t="s">
        <v>391</v>
      </c>
      <c r="H579" s="30" t="s">
        <v>36</v>
      </c>
      <c r="I579" s="31">
        <v>45078.0</v>
      </c>
      <c r="J579" s="31">
        <v>46539.0</v>
      </c>
      <c r="K579" s="33">
        <v>47635.0</v>
      </c>
      <c r="L579" s="30">
        <v>2.0</v>
      </c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29" t="s">
        <v>1458</v>
      </c>
      <c r="B580" s="30" t="s">
        <v>1078</v>
      </c>
      <c r="C580" s="30" t="s">
        <v>1459</v>
      </c>
      <c r="D580" s="30" t="s">
        <v>20</v>
      </c>
      <c r="E580" s="30" t="s">
        <v>21</v>
      </c>
      <c r="F580" s="30" t="s">
        <v>113</v>
      </c>
      <c r="G580" s="30" t="s">
        <v>41</v>
      </c>
      <c r="H580" s="30" t="s">
        <v>42</v>
      </c>
      <c r="I580" s="31">
        <v>44713.0</v>
      </c>
      <c r="J580" s="32"/>
      <c r="K580" s="33">
        <v>45809.0</v>
      </c>
      <c r="L580" s="30">
        <v>1.0</v>
      </c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29" t="s">
        <v>1460</v>
      </c>
      <c r="B581" s="30" t="s">
        <v>1461</v>
      </c>
      <c r="C581" s="30" t="s">
        <v>1462</v>
      </c>
      <c r="D581" s="30" t="s">
        <v>107</v>
      </c>
      <c r="E581" s="30" t="s">
        <v>21</v>
      </c>
      <c r="F581" s="30" t="s">
        <v>1115</v>
      </c>
      <c r="G581" s="30">
        <v>1.0</v>
      </c>
      <c r="H581" s="30" t="s">
        <v>924</v>
      </c>
      <c r="I581" s="31">
        <v>45444.0</v>
      </c>
      <c r="J581" s="32"/>
      <c r="K581" s="33">
        <v>46539.0</v>
      </c>
      <c r="L581" s="30">
        <v>1.0</v>
      </c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29" t="s">
        <v>1463</v>
      </c>
      <c r="B582" s="30" t="s">
        <v>291</v>
      </c>
      <c r="C582" s="35"/>
      <c r="D582" s="35"/>
      <c r="E582" s="30" t="s">
        <v>21</v>
      </c>
      <c r="F582" s="35"/>
      <c r="G582" s="35"/>
      <c r="H582" s="30" t="s">
        <v>188</v>
      </c>
      <c r="I582" s="31">
        <v>44348.0</v>
      </c>
      <c r="J582" s="32"/>
      <c r="K582" s="33">
        <v>46539.0</v>
      </c>
      <c r="L582" s="30">
        <v>1.0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29" t="s">
        <v>1464</v>
      </c>
      <c r="B583" s="30" t="s">
        <v>309</v>
      </c>
      <c r="C583" s="30" t="s">
        <v>1465</v>
      </c>
      <c r="D583" s="30" t="s">
        <v>102</v>
      </c>
      <c r="E583" s="30" t="s">
        <v>21</v>
      </c>
      <c r="F583" s="30" t="s">
        <v>243</v>
      </c>
      <c r="G583" s="30">
        <v>3.0</v>
      </c>
      <c r="H583" s="30" t="s">
        <v>48</v>
      </c>
      <c r="I583" s="31">
        <v>45078.0</v>
      </c>
      <c r="J583" s="32"/>
      <c r="K583" s="33">
        <v>46174.0</v>
      </c>
      <c r="L583" s="30">
        <v>1.0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29" t="s">
        <v>1466</v>
      </c>
      <c r="B584" s="30" t="s">
        <v>1467</v>
      </c>
      <c r="C584" s="30" t="s">
        <v>1468</v>
      </c>
      <c r="D584" s="30" t="s">
        <v>95</v>
      </c>
      <c r="E584" s="30" t="s">
        <v>21</v>
      </c>
      <c r="F584" s="30" t="s">
        <v>47</v>
      </c>
      <c r="G584" s="30">
        <v>4.0</v>
      </c>
      <c r="H584" s="30" t="s">
        <v>48</v>
      </c>
      <c r="I584" s="31">
        <v>45078.0</v>
      </c>
      <c r="J584" s="31">
        <v>46174.0</v>
      </c>
      <c r="K584" s="33">
        <v>47270.0</v>
      </c>
      <c r="L584" s="30">
        <v>2.0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47" t="s">
        <v>1469</v>
      </c>
      <c r="B585" s="48" t="s">
        <v>1470</v>
      </c>
      <c r="C585" s="48" t="s">
        <v>1471</v>
      </c>
      <c r="D585" s="48" t="s">
        <v>102</v>
      </c>
      <c r="E585" s="30" t="s">
        <v>21</v>
      </c>
      <c r="F585" s="49" t="s">
        <v>544</v>
      </c>
      <c r="G585" s="49" t="s">
        <v>85</v>
      </c>
      <c r="H585" s="49" t="s">
        <v>337</v>
      </c>
      <c r="I585" s="31">
        <v>45444.0</v>
      </c>
      <c r="J585" s="32"/>
      <c r="K585" s="33">
        <v>46539.0</v>
      </c>
      <c r="L585" s="30">
        <v>1.0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29" t="s">
        <v>1472</v>
      </c>
      <c r="B586" s="30" t="s">
        <v>1473</v>
      </c>
      <c r="C586" s="35"/>
      <c r="D586" s="35"/>
      <c r="E586" s="30" t="s">
        <v>21</v>
      </c>
      <c r="F586" s="35"/>
      <c r="G586" s="35"/>
      <c r="H586" s="30" t="s">
        <v>676</v>
      </c>
      <c r="I586" s="31">
        <v>44348.0</v>
      </c>
      <c r="J586" s="32"/>
      <c r="K586" s="33">
        <v>46539.0</v>
      </c>
      <c r="L586" s="30">
        <v>1.0</v>
      </c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29" t="s">
        <v>1474</v>
      </c>
      <c r="B587" s="30" t="s">
        <v>849</v>
      </c>
      <c r="C587" s="30" t="s">
        <v>1475</v>
      </c>
      <c r="D587" s="30" t="s">
        <v>20</v>
      </c>
      <c r="E587" s="30" t="s">
        <v>21</v>
      </c>
      <c r="F587" s="30" t="s">
        <v>401</v>
      </c>
      <c r="G587" s="30" t="s">
        <v>391</v>
      </c>
      <c r="H587" s="30" t="s">
        <v>36</v>
      </c>
      <c r="I587" s="31">
        <v>45078.0</v>
      </c>
      <c r="J587" s="31">
        <v>46539.0</v>
      </c>
      <c r="K587" s="33">
        <v>47635.0</v>
      </c>
      <c r="L587" s="30">
        <v>2.0</v>
      </c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29" t="s">
        <v>1476</v>
      </c>
      <c r="B588" s="30" t="s">
        <v>903</v>
      </c>
      <c r="C588" s="30" t="s">
        <v>1477</v>
      </c>
      <c r="D588" s="30" t="s">
        <v>311</v>
      </c>
      <c r="E588" s="30" t="s">
        <v>21</v>
      </c>
      <c r="F588" s="30" t="s">
        <v>113</v>
      </c>
      <c r="G588" s="30" t="s">
        <v>79</v>
      </c>
      <c r="H588" s="30" t="s">
        <v>86</v>
      </c>
      <c r="I588" s="31">
        <v>44713.0</v>
      </c>
      <c r="J588" s="32"/>
      <c r="K588" s="33">
        <v>45809.0</v>
      </c>
      <c r="L588" s="30">
        <v>1.0</v>
      </c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29" t="s">
        <v>1478</v>
      </c>
      <c r="B589" s="30" t="s">
        <v>1479</v>
      </c>
      <c r="C589" s="30" t="s">
        <v>479</v>
      </c>
      <c r="D589" s="30" t="s">
        <v>102</v>
      </c>
      <c r="E589" s="30" t="s">
        <v>21</v>
      </c>
      <c r="F589" s="30" t="s">
        <v>1480</v>
      </c>
      <c r="G589" s="30" t="s">
        <v>91</v>
      </c>
      <c r="H589" s="30" t="s">
        <v>1481</v>
      </c>
      <c r="I589" s="31">
        <v>43617.0</v>
      </c>
      <c r="J589" s="32"/>
      <c r="K589" s="33">
        <v>45809.0</v>
      </c>
      <c r="L589" s="30">
        <v>1.0</v>
      </c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29" t="s">
        <v>1482</v>
      </c>
      <c r="B590" s="30" t="s">
        <v>1483</v>
      </c>
      <c r="C590" s="30" t="s">
        <v>1484</v>
      </c>
      <c r="D590" s="30" t="s">
        <v>102</v>
      </c>
      <c r="E590" s="30" t="s">
        <v>21</v>
      </c>
      <c r="F590" s="30" t="s">
        <v>547</v>
      </c>
      <c r="G590" s="30">
        <v>2.0</v>
      </c>
      <c r="H590" s="30" t="s">
        <v>206</v>
      </c>
      <c r="I590" s="31">
        <v>45078.0</v>
      </c>
      <c r="J590" s="32"/>
      <c r="K590" s="33">
        <v>46174.0</v>
      </c>
      <c r="L590" s="30">
        <v>1.0</v>
      </c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29" t="s">
        <v>1485</v>
      </c>
      <c r="B591" s="30" t="s">
        <v>727</v>
      </c>
      <c r="C591" s="30" t="s">
        <v>1486</v>
      </c>
      <c r="D591" s="30" t="s">
        <v>27</v>
      </c>
      <c r="E591" s="30" t="s">
        <v>21</v>
      </c>
      <c r="F591" s="30" t="s">
        <v>243</v>
      </c>
      <c r="G591" s="30">
        <v>1.0</v>
      </c>
      <c r="H591" s="30" t="s">
        <v>206</v>
      </c>
      <c r="I591" s="31">
        <v>45078.0</v>
      </c>
      <c r="J591" s="32"/>
      <c r="K591" s="33">
        <v>46174.0</v>
      </c>
      <c r="L591" s="30">
        <v>1.0</v>
      </c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29" t="s">
        <v>1487</v>
      </c>
      <c r="B592" s="30" t="s">
        <v>1488</v>
      </c>
      <c r="C592" s="30" t="s">
        <v>1489</v>
      </c>
      <c r="D592" s="30" t="s">
        <v>102</v>
      </c>
      <c r="E592" s="30" t="s">
        <v>21</v>
      </c>
      <c r="F592" s="30" t="s">
        <v>289</v>
      </c>
      <c r="G592" s="30" t="s">
        <v>79</v>
      </c>
      <c r="H592" s="30" t="s">
        <v>318</v>
      </c>
      <c r="I592" s="31">
        <v>44713.0</v>
      </c>
      <c r="J592" s="32"/>
      <c r="K592" s="33">
        <v>45809.0</v>
      </c>
      <c r="L592" s="30">
        <v>1.0</v>
      </c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47" t="s">
        <v>1490</v>
      </c>
      <c r="B593" s="48" t="s">
        <v>734</v>
      </c>
      <c r="C593" s="48" t="s">
        <v>252</v>
      </c>
      <c r="D593" s="48" t="s">
        <v>84</v>
      </c>
      <c r="E593" s="30" t="s">
        <v>21</v>
      </c>
      <c r="F593" s="49" t="s">
        <v>336</v>
      </c>
      <c r="G593" s="49" t="s">
        <v>41</v>
      </c>
      <c r="H593" s="49" t="s">
        <v>337</v>
      </c>
      <c r="I593" s="31">
        <v>45444.0</v>
      </c>
      <c r="J593" s="32"/>
      <c r="K593" s="33">
        <v>46539.0</v>
      </c>
      <c r="L593" s="30">
        <v>1.0</v>
      </c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29" t="s">
        <v>1490</v>
      </c>
      <c r="B594" s="30" t="s">
        <v>1003</v>
      </c>
      <c r="C594" s="30" t="s">
        <v>1200</v>
      </c>
      <c r="D594" s="30" t="s">
        <v>107</v>
      </c>
      <c r="E594" s="30" t="s">
        <v>21</v>
      </c>
      <c r="F594" s="30" t="s">
        <v>959</v>
      </c>
      <c r="G594" s="30">
        <v>3.0</v>
      </c>
      <c r="H594" s="30" t="s">
        <v>960</v>
      </c>
      <c r="I594" s="31">
        <v>45078.0</v>
      </c>
      <c r="J594" s="32"/>
      <c r="K594" s="33">
        <v>46174.0</v>
      </c>
      <c r="L594" s="30">
        <v>1.0</v>
      </c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29" t="s">
        <v>1491</v>
      </c>
      <c r="B595" s="30" t="s">
        <v>1492</v>
      </c>
      <c r="C595" s="30" t="s">
        <v>1493</v>
      </c>
      <c r="D595" s="30" t="s">
        <v>46</v>
      </c>
      <c r="E595" s="30" t="s">
        <v>21</v>
      </c>
      <c r="F595" s="30" t="s">
        <v>1494</v>
      </c>
      <c r="G595" s="30" t="s">
        <v>1495</v>
      </c>
      <c r="H595" s="30" t="s">
        <v>30</v>
      </c>
      <c r="I595" s="31">
        <v>43132.0</v>
      </c>
      <c r="J595" s="32"/>
      <c r="K595" s="33">
        <v>47635.0</v>
      </c>
      <c r="L595" s="30">
        <v>1.0</v>
      </c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29" t="s">
        <v>1496</v>
      </c>
      <c r="B596" s="30" t="s">
        <v>353</v>
      </c>
      <c r="C596" s="30" t="s">
        <v>1497</v>
      </c>
      <c r="D596" s="30" t="s">
        <v>137</v>
      </c>
      <c r="E596" s="30" t="s">
        <v>21</v>
      </c>
      <c r="F596" s="30" t="s">
        <v>113</v>
      </c>
      <c r="G596" s="30" t="s">
        <v>41</v>
      </c>
      <c r="H596" s="30" t="s">
        <v>133</v>
      </c>
      <c r="I596" s="31">
        <v>44713.0</v>
      </c>
      <c r="J596" s="32"/>
      <c r="K596" s="33">
        <v>45809.0</v>
      </c>
      <c r="L596" s="30">
        <v>1.0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29" t="s">
        <v>1498</v>
      </c>
      <c r="B597" s="30" t="s">
        <v>1499</v>
      </c>
      <c r="C597" s="30" t="s">
        <v>1500</v>
      </c>
      <c r="D597" s="30" t="s">
        <v>27</v>
      </c>
      <c r="E597" s="30" t="s">
        <v>21</v>
      </c>
      <c r="F597" s="30" t="s">
        <v>201</v>
      </c>
      <c r="G597" s="30">
        <v>3.0</v>
      </c>
      <c r="H597" s="30" t="s">
        <v>206</v>
      </c>
      <c r="I597" s="31">
        <v>45078.0</v>
      </c>
      <c r="J597" s="32"/>
      <c r="K597" s="33">
        <v>46174.0</v>
      </c>
      <c r="L597" s="30">
        <v>1.0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29" t="s">
        <v>1501</v>
      </c>
      <c r="B598" s="30" t="s">
        <v>60</v>
      </c>
      <c r="C598" s="30" t="s">
        <v>1502</v>
      </c>
      <c r="D598" s="30" t="s">
        <v>275</v>
      </c>
      <c r="E598" s="30" t="s">
        <v>21</v>
      </c>
      <c r="F598" s="30" t="s">
        <v>210</v>
      </c>
      <c r="G598" s="30">
        <v>4.0</v>
      </c>
      <c r="H598" s="30" t="s">
        <v>48</v>
      </c>
      <c r="I598" s="31">
        <v>45078.0</v>
      </c>
      <c r="J598" s="31">
        <v>46174.0</v>
      </c>
      <c r="K598" s="33">
        <v>47270.0</v>
      </c>
      <c r="L598" s="30">
        <v>2.0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29" t="s">
        <v>1503</v>
      </c>
      <c r="B599" s="30" t="s">
        <v>661</v>
      </c>
      <c r="C599" s="30" t="s">
        <v>1504</v>
      </c>
      <c r="D599" s="30" t="s">
        <v>27</v>
      </c>
      <c r="E599" s="30" t="s">
        <v>21</v>
      </c>
      <c r="F599" s="30" t="s">
        <v>40</v>
      </c>
      <c r="G599" s="30" t="s">
        <v>41</v>
      </c>
      <c r="H599" s="30" t="s">
        <v>285</v>
      </c>
      <c r="I599" s="31">
        <v>44713.0</v>
      </c>
      <c r="J599" s="32"/>
      <c r="K599" s="33">
        <v>45809.0</v>
      </c>
      <c r="L599" s="30">
        <v>1.0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29" t="s">
        <v>1505</v>
      </c>
      <c r="B600" s="30" t="s">
        <v>1506</v>
      </c>
      <c r="C600" s="30" t="s">
        <v>1507</v>
      </c>
      <c r="D600" s="30" t="s">
        <v>270</v>
      </c>
      <c r="E600" s="30" t="s">
        <v>21</v>
      </c>
      <c r="F600" s="30" t="s">
        <v>267</v>
      </c>
      <c r="G600" s="35"/>
      <c r="H600" s="30" t="s">
        <v>30</v>
      </c>
      <c r="I600" s="31">
        <v>36892.0</v>
      </c>
      <c r="J600" s="32"/>
      <c r="K600" s="33">
        <v>47635.0</v>
      </c>
      <c r="L600" s="30">
        <v>1.0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29" t="s">
        <v>1508</v>
      </c>
      <c r="B601" s="30" t="s">
        <v>242</v>
      </c>
      <c r="C601" s="30" t="s">
        <v>205</v>
      </c>
      <c r="D601" s="30" t="s">
        <v>137</v>
      </c>
      <c r="E601" s="30" t="s">
        <v>21</v>
      </c>
      <c r="F601" s="30" t="s">
        <v>78</v>
      </c>
      <c r="G601" s="30" t="s">
        <v>79</v>
      </c>
      <c r="H601" s="30" t="s">
        <v>285</v>
      </c>
      <c r="I601" s="31">
        <v>44713.0</v>
      </c>
      <c r="J601" s="32"/>
      <c r="K601" s="33">
        <v>45809.0</v>
      </c>
      <c r="L601" s="30">
        <v>1.0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29" t="s">
        <v>1509</v>
      </c>
      <c r="B602" s="30" t="s">
        <v>803</v>
      </c>
      <c r="C602" s="30" t="s">
        <v>1510</v>
      </c>
      <c r="D602" s="30" t="s">
        <v>128</v>
      </c>
      <c r="E602" s="30" t="s">
        <v>21</v>
      </c>
      <c r="F602" s="30" t="s">
        <v>78</v>
      </c>
      <c r="G602" s="30" t="s">
        <v>41</v>
      </c>
      <c r="H602" s="30" t="s">
        <v>116</v>
      </c>
      <c r="I602" s="31">
        <v>44713.0</v>
      </c>
      <c r="J602" s="32"/>
      <c r="K602" s="33">
        <v>45809.0</v>
      </c>
      <c r="L602" s="30">
        <v>1.0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29" t="s">
        <v>1509</v>
      </c>
      <c r="B603" s="30" t="s">
        <v>1511</v>
      </c>
      <c r="C603" s="30" t="s">
        <v>1512</v>
      </c>
      <c r="D603" s="30" t="s">
        <v>128</v>
      </c>
      <c r="E603" s="30" t="s">
        <v>21</v>
      </c>
      <c r="F603" s="30" t="s">
        <v>78</v>
      </c>
      <c r="G603" s="30" t="s">
        <v>41</v>
      </c>
      <c r="H603" s="30" t="s">
        <v>116</v>
      </c>
      <c r="I603" s="31">
        <v>44713.0</v>
      </c>
      <c r="J603" s="32"/>
      <c r="K603" s="33">
        <v>45809.0</v>
      </c>
      <c r="L603" s="30">
        <v>1.0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29" t="s">
        <v>1513</v>
      </c>
      <c r="B604" s="30" t="s">
        <v>1514</v>
      </c>
      <c r="C604" s="30" t="s">
        <v>1117</v>
      </c>
      <c r="D604" s="30" t="s">
        <v>71</v>
      </c>
      <c r="E604" s="30" t="s">
        <v>21</v>
      </c>
      <c r="F604" s="30" t="s">
        <v>113</v>
      </c>
      <c r="G604" s="30" t="s">
        <v>41</v>
      </c>
      <c r="H604" s="30" t="s">
        <v>116</v>
      </c>
      <c r="I604" s="31">
        <v>44713.0</v>
      </c>
      <c r="J604" s="32"/>
      <c r="K604" s="33">
        <v>45809.0</v>
      </c>
      <c r="L604" s="30">
        <v>1.0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29" t="s">
        <v>1515</v>
      </c>
      <c r="B605" s="30" t="s">
        <v>239</v>
      </c>
      <c r="C605" s="30" t="s">
        <v>466</v>
      </c>
      <c r="D605" s="30" t="s">
        <v>152</v>
      </c>
      <c r="E605" s="30" t="s">
        <v>21</v>
      </c>
      <c r="F605" s="30" t="s">
        <v>58</v>
      </c>
      <c r="G605" s="30">
        <v>2.0</v>
      </c>
      <c r="H605" s="30" t="s">
        <v>202</v>
      </c>
      <c r="I605" s="31">
        <v>45078.0</v>
      </c>
      <c r="J605" s="32"/>
      <c r="K605" s="33">
        <v>46174.0</v>
      </c>
      <c r="L605" s="30">
        <v>1.0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47" t="s">
        <v>423</v>
      </c>
      <c r="B606" s="48" t="s">
        <v>502</v>
      </c>
      <c r="C606" s="48" t="s">
        <v>356</v>
      </c>
      <c r="D606" s="48" t="s">
        <v>46</v>
      </c>
      <c r="E606" s="30" t="s">
        <v>21</v>
      </c>
      <c r="F606" s="49" t="s">
        <v>40</v>
      </c>
      <c r="G606" s="49" t="s">
        <v>41</v>
      </c>
      <c r="H606" s="49" t="s">
        <v>337</v>
      </c>
      <c r="I606" s="31">
        <v>45444.0</v>
      </c>
      <c r="J606" s="32"/>
      <c r="K606" s="33">
        <v>46539.0</v>
      </c>
      <c r="L606" s="30">
        <v>1.0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29" t="s">
        <v>219</v>
      </c>
      <c r="B607" s="30" t="s">
        <v>1516</v>
      </c>
      <c r="C607" s="52"/>
      <c r="D607" s="30" t="s">
        <v>305</v>
      </c>
      <c r="E607" s="30" t="s">
        <v>1517</v>
      </c>
      <c r="F607" s="30" t="s">
        <v>1037</v>
      </c>
      <c r="G607" s="30" t="s">
        <v>1518</v>
      </c>
      <c r="H607" s="30" t="s">
        <v>30</v>
      </c>
      <c r="I607" s="31">
        <v>42767.0</v>
      </c>
      <c r="J607" s="32"/>
      <c r="K607" s="33">
        <v>47635.0</v>
      </c>
      <c r="L607" s="30">
        <v>2.0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29" t="s">
        <v>1519</v>
      </c>
      <c r="B608" s="30" t="s">
        <v>32</v>
      </c>
      <c r="C608" s="30" t="s">
        <v>346</v>
      </c>
      <c r="D608" s="30" t="s">
        <v>102</v>
      </c>
      <c r="E608" s="30" t="s">
        <v>21</v>
      </c>
      <c r="F608" s="30" t="s">
        <v>1480</v>
      </c>
      <c r="G608" s="30" t="s">
        <v>29</v>
      </c>
      <c r="H608" s="30" t="s">
        <v>1481</v>
      </c>
      <c r="I608" s="31">
        <v>43617.0</v>
      </c>
      <c r="J608" s="32"/>
      <c r="K608" s="33">
        <v>45809.0</v>
      </c>
      <c r="L608" s="30">
        <v>1.0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29" t="s">
        <v>1520</v>
      </c>
      <c r="B609" s="30" t="s">
        <v>1030</v>
      </c>
      <c r="C609" s="30" t="s">
        <v>1459</v>
      </c>
      <c r="D609" s="30" t="s">
        <v>20</v>
      </c>
      <c r="E609" s="30" t="s">
        <v>21</v>
      </c>
      <c r="F609" s="30" t="s">
        <v>113</v>
      </c>
      <c r="G609" s="30" t="s">
        <v>85</v>
      </c>
      <c r="H609" s="30" t="s">
        <v>318</v>
      </c>
      <c r="I609" s="31">
        <v>44713.0</v>
      </c>
      <c r="J609" s="32"/>
      <c r="K609" s="33">
        <v>45809.0</v>
      </c>
      <c r="L609" s="30">
        <v>1.0</v>
      </c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29" t="s">
        <v>1521</v>
      </c>
      <c r="B610" s="30" t="s">
        <v>1522</v>
      </c>
      <c r="C610" s="30" t="s">
        <v>1523</v>
      </c>
      <c r="D610" s="30" t="s">
        <v>46</v>
      </c>
      <c r="E610" s="30" t="s">
        <v>21</v>
      </c>
      <c r="F610" s="30" t="s">
        <v>253</v>
      </c>
      <c r="G610" s="34">
        <v>45355.0</v>
      </c>
      <c r="H610" s="30" t="s">
        <v>48</v>
      </c>
      <c r="I610" s="31">
        <v>45078.0</v>
      </c>
      <c r="J610" s="32"/>
      <c r="K610" s="33">
        <v>46174.0</v>
      </c>
      <c r="L610" s="30">
        <v>1.0</v>
      </c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29" t="s">
        <v>1524</v>
      </c>
      <c r="B611" s="30" t="s">
        <v>1525</v>
      </c>
      <c r="C611" s="30" t="s">
        <v>1523</v>
      </c>
      <c r="D611" s="30" t="s">
        <v>46</v>
      </c>
      <c r="E611" s="30" t="s">
        <v>21</v>
      </c>
      <c r="F611" s="30" t="s">
        <v>253</v>
      </c>
      <c r="G611" s="34">
        <v>45355.0</v>
      </c>
      <c r="H611" s="30" t="s">
        <v>48</v>
      </c>
      <c r="I611" s="31">
        <v>45078.0</v>
      </c>
      <c r="J611" s="32"/>
      <c r="K611" s="33">
        <v>46174.0</v>
      </c>
      <c r="L611" s="30">
        <v>1.0</v>
      </c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29" t="s">
        <v>1526</v>
      </c>
      <c r="B612" s="30" t="s">
        <v>60</v>
      </c>
      <c r="C612" s="30" t="s">
        <v>1527</v>
      </c>
      <c r="D612" s="30" t="s">
        <v>137</v>
      </c>
      <c r="E612" s="30" t="s">
        <v>21</v>
      </c>
      <c r="F612" s="30" t="s">
        <v>243</v>
      </c>
      <c r="G612" s="30">
        <v>2.0</v>
      </c>
      <c r="H612" s="30" t="s">
        <v>206</v>
      </c>
      <c r="I612" s="31">
        <v>45078.0</v>
      </c>
      <c r="J612" s="32"/>
      <c r="K612" s="33">
        <v>46174.0</v>
      </c>
      <c r="L612" s="30">
        <v>1.0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29" t="s">
        <v>1528</v>
      </c>
      <c r="B613" s="30" t="s">
        <v>1529</v>
      </c>
      <c r="C613" s="30" t="s">
        <v>1530</v>
      </c>
      <c r="D613" s="30" t="s">
        <v>137</v>
      </c>
      <c r="E613" s="30" t="s">
        <v>21</v>
      </c>
      <c r="F613" s="30" t="s">
        <v>196</v>
      </c>
      <c r="G613" s="30" t="s">
        <v>35</v>
      </c>
      <c r="H613" s="30" t="s">
        <v>36</v>
      </c>
      <c r="I613" s="31">
        <v>45078.0</v>
      </c>
      <c r="J613" s="31">
        <v>46539.0</v>
      </c>
      <c r="K613" s="33">
        <v>47635.0</v>
      </c>
      <c r="L613" s="30">
        <v>2.0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29" t="s">
        <v>1531</v>
      </c>
      <c r="B614" s="30" t="s">
        <v>459</v>
      </c>
      <c r="C614" s="35"/>
      <c r="D614" s="30" t="s">
        <v>305</v>
      </c>
      <c r="E614" s="30" t="s">
        <v>585</v>
      </c>
      <c r="F614" s="30" t="s">
        <v>267</v>
      </c>
      <c r="G614" s="52"/>
      <c r="H614" s="30" t="s">
        <v>30</v>
      </c>
      <c r="I614" s="31">
        <v>36892.0</v>
      </c>
      <c r="J614" s="32"/>
      <c r="K614" s="33">
        <v>47635.0</v>
      </c>
      <c r="L614" s="30">
        <v>1.0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29" t="s">
        <v>704</v>
      </c>
      <c r="B615" s="30" t="s">
        <v>141</v>
      </c>
      <c r="C615" s="30" t="s">
        <v>1532</v>
      </c>
      <c r="D615" s="30" t="s">
        <v>71</v>
      </c>
      <c r="E615" s="30" t="s">
        <v>21</v>
      </c>
      <c r="F615" s="30" t="s">
        <v>201</v>
      </c>
      <c r="G615" s="30">
        <v>1.0</v>
      </c>
      <c r="H615" s="30" t="s">
        <v>244</v>
      </c>
      <c r="I615" s="31">
        <v>45078.0</v>
      </c>
      <c r="J615" s="32"/>
      <c r="K615" s="33">
        <v>46174.0</v>
      </c>
      <c r="L615" s="30">
        <v>1.0</v>
      </c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41" t="s">
        <v>1533</v>
      </c>
      <c r="B616" s="42" t="s">
        <v>118</v>
      </c>
      <c r="C616" s="43"/>
      <c r="D616" s="43"/>
      <c r="E616" s="43"/>
      <c r="F616" s="42" t="s">
        <v>119</v>
      </c>
      <c r="G616" s="43"/>
      <c r="H616" s="43"/>
      <c r="I616" s="44">
        <v>45444.0</v>
      </c>
      <c r="J616" s="44">
        <v>46539.0</v>
      </c>
      <c r="K616" s="45">
        <v>47635.0</v>
      </c>
      <c r="L616" s="46">
        <v>2.0</v>
      </c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29" t="s">
        <v>1534</v>
      </c>
      <c r="B617" s="30" t="s">
        <v>1450</v>
      </c>
      <c r="C617" s="30" t="s">
        <v>1535</v>
      </c>
      <c r="D617" s="30" t="s">
        <v>27</v>
      </c>
      <c r="E617" s="30" t="s">
        <v>21</v>
      </c>
      <c r="F617" s="30" t="s">
        <v>243</v>
      </c>
      <c r="G617" s="30">
        <v>1.0</v>
      </c>
      <c r="H617" s="30" t="s">
        <v>206</v>
      </c>
      <c r="I617" s="31">
        <v>45078.0</v>
      </c>
      <c r="J617" s="32"/>
      <c r="K617" s="33">
        <v>46174.0</v>
      </c>
      <c r="L617" s="30">
        <v>1.0</v>
      </c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29" t="s">
        <v>1536</v>
      </c>
      <c r="B618" s="30" t="s">
        <v>382</v>
      </c>
      <c r="C618" s="30" t="s">
        <v>594</v>
      </c>
      <c r="D618" s="30" t="s">
        <v>595</v>
      </c>
      <c r="E618" s="30" t="s">
        <v>21</v>
      </c>
      <c r="F618" s="30" t="s">
        <v>47</v>
      </c>
      <c r="G618" s="30">
        <v>3.0</v>
      </c>
      <c r="H618" s="30" t="s">
        <v>224</v>
      </c>
      <c r="I618" s="31">
        <v>45078.0</v>
      </c>
      <c r="J618" s="32"/>
      <c r="K618" s="33">
        <v>46174.0</v>
      </c>
      <c r="L618" s="30">
        <v>1.0</v>
      </c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29" t="s">
        <v>1537</v>
      </c>
      <c r="B619" s="30" t="s">
        <v>697</v>
      </c>
      <c r="C619" s="30" t="s">
        <v>1538</v>
      </c>
      <c r="D619" s="30" t="s">
        <v>57</v>
      </c>
      <c r="E619" s="30" t="s">
        <v>21</v>
      </c>
      <c r="F619" s="30" t="s">
        <v>547</v>
      </c>
      <c r="G619" s="30">
        <v>3.0</v>
      </c>
      <c r="H619" s="30" t="s">
        <v>960</v>
      </c>
      <c r="I619" s="31">
        <v>45078.0</v>
      </c>
      <c r="J619" s="32"/>
      <c r="K619" s="33">
        <v>46174.0</v>
      </c>
      <c r="L619" s="30">
        <v>1.0</v>
      </c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29" t="s">
        <v>1539</v>
      </c>
      <c r="B620" s="30" t="s">
        <v>1540</v>
      </c>
      <c r="C620" s="52"/>
      <c r="D620" s="52"/>
      <c r="E620" s="30" t="s">
        <v>177</v>
      </c>
      <c r="F620" s="30" t="s">
        <v>47</v>
      </c>
      <c r="G620" s="30">
        <v>1.0</v>
      </c>
      <c r="H620" s="30" t="s">
        <v>244</v>
      </c>
      <c r="I620" s="31">
        <v>45078.0</v>
      </c>
      <c r="J620" s="32"/>
      <c r="K620" s="33">
        <v>46174.0</v>
      </c>
      <c r="L620" s="30">
        <v>1.0</v>
      </c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29" t="s">
        <v>1541</v>
      </c>
      <c r="B621" s="30" t="s">
        <v>435</v>
      </c>
      <c r="C621" s="30" t="s">
        <v>1432</v>
      </c>
      <c r="D621" s="30" t="s">
        <v>84</v>
      </c>
      <c r="E621" s="30" t="s">
        <v>21</v>
      </c>
      <c r="F621" s="30" t="s">
        <v>58</v>
      </c>
      <c r="G621" s="30">
        <v>1.0</v>
      </c>
      <c r="H621" s="30" t="s">
        <v>224</v>
      </c>
      <c r="I621" s="31">
        <v>45078.0</v>
      </c>
      <c r="J621" s="32"/>
      <c r="K621" s="33">
        <v>46174.0</v>
      </c>
      <c r="L621" s="30">
        <v>1.0</v>
      </c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29" t="s">
        <v>1541</v>
      </c>
      <c r="B622" s="30" t="s">
        <v>382</v>
      </c>
      <c r="C622" s="30" t="s">
        <v>1400</v>
      </c>
      <c r="D622" s="30" t="s">
        <v>163</v>
      </c>
      <c r="E622" s="30" t="s">
        <v>21</v>
      </c>
      <c r="F622" s="30" t="s">
        <v>113</v>
      </c>
      <c r="G622" s="30" t="s">
        <v>85</v>
      </c>
      <c r="H622" s="30" t="s">
        <v>86</v>
      </c>
      <c r="I622" s="31">
        <v>44713.0</v>
      </c>
      <c r="J622" s="32"/>
      <c r="K622" s="33">
        <v>45809.0</v>
      </c>
      <c r="L622" s="30">
        <v>1.0</v>
      </c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29" t="s">
        <v>1542</v>
      </c>
      <c r="B623" s="30" t="s">
        <v>1543</v>
      </c>
      <c r="C623" s="30" t="s">
        <v>328</v>
      </c>
      <c r="D623" s="30" t="s">
        <v>329</v>
      </c>
      <c r="E623" s="30" t="s">
        <v>21</v>
      </c>
      <c r="F623" s="30" t="s">
        <v>1544</v>
      </c>
      <c r="G623" s="30" t="s">
        <v>41</v>
      </c>
      <c r="H623" s="30" t="s">
        <v>249</v>
      </c>
      <c r="I623" s="31">
        <v>44713.0</v>
      </c>
      <c r="J623" s="32"/>
      <c r="K623" s="33">
        <v>45809.0</v>
      </c>
      <c r="L623" s="30">
        <v>1.0</v>
      </c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29" t="s">
        <v>1545</v>
      </c>
      <c r="B624" s="30" t="s">
        <v>839</v>
      </c>
      <c r="C624" s="30" t="s">
        <v>1546</v>
      </c>
      <c r="D624" s="30" t="s">
        <v>102</v>
      </c>
      <c r="E624" s="30" t="s">
        <v>21</v>
      </c>
      <c r="F624" s="30" t="s">
        <v>1547</v>
      </c>
      <c r="G624" s="30" t="s">
        <v>35</v>
      </c>
      <c r="H624" s="30" t="s">
        <v>30</v>
      </c>
      <c r="I624" s="31">
        <v>36892.0</v>
      </c>
      <c r="J624" s="32"/>
      <c r="K624" s="33">
        <v>47635.0</v>
      </c>
      <c r="L624" s="30">
        <v>1.0</v>
      </c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29" t="s">
        <v>1548</v>
      </c>
      <c r="B625" s="30" t="s">
        <v>1549</v>
      </c>
      <c r="C625" s="30" t="s">
        <v>1550</v>
      </c>
      <c r="D625" s="30" t="s">
        <v>102</v>
      </c>
      <c r="E625" s="30" t="s">
        <v>21</v>
      </c>
      <c r="F625" s="30" t="s">
        <v>988</v>
      </c>
      <c r="G625" s="34">
        <v>45481.0</v>
      </c>
      <c r="H625" s="30" t="s">
        <v>48</v>
      </c>
      <c r="I625" s="31">
        <v>45078.0</v>
      </c>
      <c r="J625" s="32"/>
      <c r="K625" s="33">
        <v>46174.0</v>
      </c>
      <c r="L625" s="30">
        <v>1.0</v>
      </c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29" t="s">
        <v>1551</v>
      </c>
      <c r="B626" s="30" t="s">
        <v>1479</v>
      </c>
      <c r="C626" s="52"/>
      <c r="D626" s="52"/>
      <c r="E626" s="35"/>
      <c r="F626" s="30" t="s">
        <v>66</v>
      </c>
      <c r="G626" s="30" t="s">
        <v>29</v>
      </c>
      <c r="H626" s="30" t="s">
        <v>36</v>
      </c>
      <c r="I626" s="31">
        <v>45444.0</v>
      </c>
      <c r="J626" s="32"/>
      <c r="K626" s="33">
        <v>46539.0</v>
      </c>
      <c r="L626" s="30">
        <v>1.0</v>
      </c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29" t="s">
        <v>1552</v>
      </c>
      <c r="B627" s="30" t="s">
        <v>914</v>
      </c>
      <c r="C627" s="30" t="s">
        <v>1182</v>
      </c>
      <c r="D627" s="30" t="s">
        <v>95</v>
      </c>
      <c r="E627" s="30" t="s">
        <v>21</v>
      </c>
      <c r="F627" s="30" t="s">
        <v>351</v>
      </c>
      <c r="G627" s="30">
        <v>1.0</v>
      </c>
      <c r="H627" s="30" t="s">
        <v>224</v>
      </c>
      <c r="I627" s="31">
        <v>45078.0</v>
      </c>
      <c r="J627" s="32"/>
      <c r="K627" s="33">
        <v>46174.0</v>
      </c>
      <c r="L627" s="30">
        <v>1.0</v>
      </c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29" t="s">
        <v>1553</v>
      </c>
      <c r="B628" s="30" t="s">
        <v>648</v>
      </c>
      <c r="C628" s="30" t="s">
        <v>1554</v>
      </c>
      <c r="D628" s="30" t="s">
        <v>46</v>
      </c>
      <c r="E628" s="30" t="s">
        <v>21</v>
      </c>
      <c r="F628" s="30" t="s">
        <v>1367</v>
      </c>
      <c r="G628" s="30" t="s">
        <v>391</v>
      </c>
      <c r="H628" s="30" t="s">
        <v>124</v>
      </c>
      <c r="I628" s="31">
        <v>43617.0</v>
      </c>
      <c r="J628" s="32"/>
      <c r="K628" s="33">
        <v>45809.0</v>
      </c>
      <c r="L628" s="30">
        <v>1.0</v>
      </c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29" t="s">
        <v>1555</v>
      </c>
      <c r="B629" s="30" t="s">
        <v>1556</v>
      </c>
      <c r="C629" s="30" t="s">
        <v>1375</v>
      </c>
      <c r="D629" s="30" t="s">
        <v>163</v>
      </c>
      <c r="E629" s="30" t="s">
        <v>21</v>
      </c>
      <c r="F629" s="30" t="s">
        <v>178</v>
      </c>
      <c r="G629" s="30" t="s">
        <v>91</v>
      </c>
      <c r="H629" s="30" t="s">
        <v>36</v>
      </c>
      <c r="I629" s="31">
        <v>45078.0</v>
      </c>
      <c r="J629" s="31">
        <v>46539.0</v>
      </c>
      <c r="K629" s="33">
        <v>47635.0</v>
      </c>
      <c r="L629" s="30">
        <v>2.0</v>
      </c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29" t="s">
        <v>1557</v>
      </c>
      <c r="B630" s="30" t="s">
        <v>1558</v>
      </c>
      <c r="C630" s="35"/>
      <c r="D630" s="30" t="s">
        <v>305</v>
      </c>
      <c r="E630" s="30" t="s">
        <v>585</v>
      </c>
      <c r="F630" s="30" t="s">
        <v>267</v>
      </c>
      <c r="G630" s="52"/>
      <c r="H630" s="30" t="s">
        <v>30</v>
      </c>
      <c r="I630" s="31">
        <v>36892.0</v>
      </c>
      <c r="J630" s="32"/>
      <c r="K630" s="33">
        <v>47635.0</v>
      </c>
      <c r="L630" s="30">
        <v>1.0</v>
      </c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29" t="s">
        <v>1559</v>
      </c>
      <c r="B631" s="30" t="s">
        <v>772</v>
      </c>
      <c r="C631" s="35"/>
      <c r="D631" s="30" t="s">
        <v>305</v>
      </c>
      <c r="E631" s="30" t="s">
        <v>585</v>
      </c>
      <c r="F631" s="30" t="s">
        <v>267</v>
      </c>
      <c r="G631" s="52"/>
      <c r="H631" s="30" t="s">
        <v>30</v>
      </c>
      <c r="I631" s="31">
        <v>36892.0</v>
      </c>
      <c r="J631" s="32"/>
      <c r="K631" s="33">
        <v>47635.0</v>
      </c>
      <c r="L631" s="30">
        <v>1.0</v>
      </c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29" t="s">
        <v>1560</v>
      </c>
      <c r="B632" s="30" t="s">
        <v>1561</v>
      </c>
      <c r="C632" s="35"/>
      <c r="D632" s="35"/>
      <c r="E632" s="30" t="s">
        <v>1562</v>
      </c>
      <c r="F632" s="30" t="s">
        <v>1367</v>
      </c>
      <c r="G632" s="30" t="s">
        <v>29</v>
      </c>
      <c r="H632" s="30" t="s">
        <v>124</v>
      </c>
      <c r="I632" s="31">
        <v>43617.0</v>
      </c>
      <c r="J632" s="32"/>
      <c r="K632" s="33">
        <v>45809.0</v>
      </c>
      <c r="L632" s="30">
        <v>1.0</v>
      </c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29" t="s">
        <v>1563</v>
      </c>
      <c r="B633" s="30" t="s">
        <v>291</v>
      </c>
      <c r="C633" s="30" t="s">
        <v>616</v>
      </c>
      <c r="D633" s="30" t="s">
        <v>137</v>
      </c>
      <c r="E633" s="30" t="s">
        <v>21</v>
      </c>
      <c r="F633" s="30" t="s">
        <v>123</v>
      </c>
      <c r="G633" s="30" t="s">
        <v>29</v>
      </c>
      <c r="H633" s="30" t="s">
        <v>124</v>
      </c>
      <c r="I633" s="31">
        <v>43617.0</v>
      </c>
      <c r="J633" s="32"/>
      <c r="K633" s="33">
        <v>45809.0</v>
      </c>
      <c r="L633" s="30">
        <v>1.0</v>
      </c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29" t="s">
        <v>1564</v>
      </c>
      <c r="B634" s="30" t="s">
        <v>1565</v>
      </c>
      <c r="C634" s="30" t="s">
        <v>1566</v>
      </c>
      <c r="D634" s="30" t="s">
        <v>84</v>
      </c>
      <c r="E634" s="30" t="s">
        <v>21</v>
      </c>
      <c r="F634" s="30" t="s">
        <v>243</v>
      </c>
      <c r="G634" s="30">
        <v>3.0</v>
      </c>
      <c r="H634" s="30" t="s">
        <v>224</v>
      </c>
      <c r="I634" s="31">
        <v>45078.0</v>
      </c>
      <c r="J634" s="32"/>
      <c r="K634" s="33">
        <v>46174.0</v>
      </c>
      <c r="L634" s="30">
        <v>1.0</v>
      </c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29" t="s">
        <v>1564</v>
      </c>
      <c r="B635" s="30" t="s">
        <v>1567</v>
      </c>
      <c r="C635" s="30" t="s">
        <v>1566</v>
      </c>
      <c r="D635" s="30" t="s">
        <v>84</v>
      </c>
      <c r="E635" s="30" t="s">
        <v>21</v>
      </c>
      <c r="F635" s="30" t="s">
        <v>243</v>
      </c>
      <c r="G635" s="30">
        <v>3.0</v>
      </c>
      <c r="H635" s="30" t="s">
        <v>224</v>
      </c>
      <c r="I635" s="31">
        <v>45078.0</v>
      </c>
      <c r="J635" s="32"/>
      <c r="K635" s="33">
        <v>46174.0</v>
      </c>
      <c r="L635" s="30">
        <v>1.0</v>
      </c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29" t="s">
        <v>1568</v>
      </c>
      <c r="B636" s="30" t="s">
        <v>1569</v>
      </c>
      <c r="C636" s="30" t="s">
        <v>1570</v>
      </c>
      <c r="D636" s="30" t="s">
        <v>27</v>
      </c>
      <c r="E636" s="30" t="s">
        <v>21</v>
      </c>
      <c r="F636" s="30" t="s">
        <v>96</v>
      </c>
      <c r="G636" s="30" t="s">
        <v>85</v>
      </c>
      <c r="H636" s="30" t="s">
        <v>98</v>
      </c>
      <c r="I636" s="31">
        <v>44713.0</v>
      </c>
      <c r="J636" s="31">
        <v>45809.0</v>
      </c>
      <c r="K636" s="33">
        <v>46905.0</v>
      </c>
      <c r="L636" s="30">
        <v>2.0</v>
      </c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29" t="s">
        <v>1571</v>
      </c>
      <c r="B637" s="30" t="s">
        <v>1572</v>
      </c>
      <c r="C637" s="30" t="s">
        <v>1573</v>
      </c>
      <c r="D637" s="30" t="s">
        <v>27</v>
      </c>
      <c r="E637" s="30" t="s">
        <v>21</v>
      </c>
      <c r="F637" s="30" t="s">
        <v>267</v>
      </c>
      <c r="G637" s="35"/>
      <c r="H637" s="30" t="s">
        <v>30</v>
      </c>
      <c r="I637" s="31">
        <v>40330.0</v>
      </c>
      <c r="J637" s="32"/>
      <c r="K637" s="33">
        <v>47635.0</v>
      </c>
      <c r="L637" s="30">
        <v>1.0</v>
      </c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53" t="s">
        <v>1574</v>
      </c>
      <c r="B638" s="54" t="s">
        <v>1575</v>
      </c>
      <c r="C638" s="54" t="s">
        <v>1576</v>
      </c>
      <c r="D638" s="54" t="s">
        <v>1577</v>
      </c>
      <c r="E638" s="54" t="s">
        <v>21</v>
      </c>
      <c r="F638" s="54" t="s">
        <v>267</v>
      </c>
      <c r="G638" s="55"/>
      <c r="H638" s="54" t="s">
        <v>30</v>
      </c>
      <c r="I638" s="56">
        <v>36892.0</v>
      </c>
      <c r="J638" s="57"/>
      <c r="K638" s="58">
        <v>47635.0</v>
      </c>
      <c r="L638" s="54">
        <v>1.0</v>
      </c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6" t="s">
        <v>1578</v>
      </c>
      <c r="B639" s="37" t="s">
        <v>1579</v>
      </c>
      <c r="C639" s="37" t="s">
        <v>282</v>
      </c>
      <c r="D639" s="37" t="s">
        <v>20</v>
      </c>
      <c r="E639" s="37" t="s">
        <v>21</v>
      </c>
      <c r="F639" s="37" t="s">
        <v>243</v>
      </c>
      <c r="G639" s="37">
        <v>1.0</v>
      </c>
      <c r="H639" s="37" t="s">
        <v>23</v>
      </c>
      <c r="I639" s="38">
        <v>45078.0</v>
      </c>
      <c r="J639" s="39"/>
      <c r="K639" s="40">
        <v>46174.0</v>
      </c>
      <c r="L639" s="37">
        <v>1.0</v>
      </c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47" t="s">
        <v>1580</v>
      </c>
      <c r="B640" s="48" t="s">
        <v>999</v>
      </c>
      <c r="C640" s="48" t="s">
        <v>1581</v>
      </c>
      <c r="D640" s="48" t="s">
        <v>107</v>
      </c>
      <c r="E640" s="30" t="s">
        <v>21</v>
      </c>
      <c r="F640" s="49" t="s">
        <v>336</v>
      </c>
      <c r="G640" s="49" t="s">
        <v>85</v>
      </c>
      <c r="H640" s="49" t="s">
        <v>924</v>
      </c>
      <c r="I640" s="31">
        <v>45444.0</v>
      </c>
      <c r="J640" s="32"/>
      <c r="K640" s="33">
        <v>46539.0</v>
      </c>
      <c r="L640" s="30">
        <v>1.0</v>
      </c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29" t="s">
        <v>1582</v>
      </c>
      <c r="B641" s="30" t="s">
        <v>1583</v>
      </c>
      <c r="C641" s="30" t="s">
        <v>1584</v>
      </c>
      <c r="D641" s="30" t="s">
        <v>52</v>
      </c>
      <c r="E641" s="30" t="s">
        <v>21</v>
      </c>
      <c r="F641" s="30" t="s">
        <v>467</v>
      </c>
      <c r="G641" s="30" t="s">
        <v>85</v>
      </c>
      <c r="H641" s="30" t="s">
        <v>98</v>
      </c>
      <c r="I641" s="31">
        <v>44713.0</v>
      </c>
      <c r="J641" s="32"/>
      <c r="K641" s="33">
        <v>45809.0</v>
      </c>
      <c r="L641" s="30">
        <v>1.0</v>
      </c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29" t="s">
        <v>1585</v>
      </c>
      <c r="B642" s="30" t="s">
        <v>1586</v>
      </c>
      <c r="C642" s="30" t="s">
        <v>1587</v>
      </c>
      <c r="D642" s="30" t="s">
        <v>1212</v>
      </c>
      <c r="E642" s="30" t="s">
        <v>21</v>
      </c>
      <c r="F642" s="30" t="s">
        <v>243</v>
      </c>
      <c r="G642" s="30">
        <v>1.0</v>
      </c>
      <c r="H642" s="30" t="s">
        <v>202</v>
      </c>
      <c r="I642" s="31">
        <v>45078.0</v>
      </c>
      <c r="J642" s="32"/>
      <c r="K642" s="33">
        <v>46174.0</v>
      </c>
      <c r="L642" s="30">
        <v>1.0</v>
      </c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29" t="s">
        <v>1588</v>
      </c>
      <c r="B643" s="30" t="s">
        <v>296</v>
      </c>
      <c r="C643" s="30" t="s">
        <v>1589</v>
      </c>
      <c r="D643" s="30" t="s">
        <v>27</v>
      </c>
      <c r="E643" s="30" t="s">
        <v>21</v>
      </c>
      <c r="F643" s="30" t="s">
        <v>113</v>
      </c>
      <c r="G643" s="30" t="s">
        <v>79</v>
      </c>
      <c r="H643" s="30" t="s">
        <v>285</v>
      </c>
      <c r="I643" s="31">
        <v>44713.0</v>
      </c>
      <c r="J643" s="32"/>
      <c r="K643" s="33">
        <v>45809.0</v>
      </c>
      <c r="L643" s="30">
        <v>1.0</v>
      </c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29" t="s">
        <v>1590</v>
      </c>
      <c r="B644" s="30" t="s">
        <v>1591</v>
      </c>
      <c r="C644" s="30" t="s">
        <v>1592</v>
      </c>
      <c r="D644" s="30" t="s">
        <v>65</v>
      </c>
      <c r="E644" s="30" t="s">
        <v>21</v>
      </c>
      <c r="F644" s="30" t="s">
        <v>58</v>
      </c>
      <c r="G644" s="30">
        <v>1.0</v>
      </c>
      <c r="H644" s="30" t="s">
        <v>23</v>
      </c>
      <c r="I644" s="31">
        <v>45078.0</v>
      </c>
      <c r="J644" s="32"/>
      <c r="K644" s="33">
        <v>46174.0</v>
      </c>
      <c r="L644" s="30">
        <v>1.0</v>
      </c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29" t="s">
        <v>1593</v>
      </c>
      <c r="B645" s="30" t="s">
        <v>1594</v>
      </c>
      <c r="C645" s="35"/>
      <c r="D645" s="35"/>
      <c r="E645" s="30" t="s">
        <v>177</v>
      </c>
      <c r="F645" s="30" t="s">
        <v>47</v>
      </c>
      <c r="G645" s="30">
        <v>2.0</v>
      </c>
      <c r="H645" s="30" t="s">
        <v>244</v>
      </c>
      <c r="I645" s="31">
        <v>45078.0</v>
      </c>
      <c r="J645" s="32"/>
      <c r="K645" s="33">
        <v>46174.0</v>
      </c>
      <c r="L645" s="30">
        <v>1.0</v>
      </c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29" t="s">
        <v>1595</v>
      </c>
      <c r="B646" s="30" t="s">
        <v>1596</v>
      </c>
      <c r="C646" s="30" t="s">
        <v>1597</v>
      </c>
      <c r="D646" s="30" t="s">
        <v>102</v>
      </c>
      <c r="E646" s="30" t="s">
        <v>21</v>
      </c>
      <c r="F646" s="30" t="s">
        <v>243</v>
      </c>
      <c r="G646" s="30">
        <v>3.0</v>
      </c>
      <c r="H646" s="30" t="s">
        <v>23</v>
      </c>
      <c r="I646" s="31">
        <v>45078.0</v>
      </c>
      <c r="J646" s="32"/>
      <c r="K646" s="33">
        <v>46174.0</v>
      </c>
      <c r="L646" s="30">
        <v>1.0</v>
      </c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29" t="s">
        <v>1598</v>
      </c>
      <c r="B647" s="30" t="s">
        <v>82</v>
      </c>
      <c r="C647" s="30" t="s">
        <v>1599</v>
      </c>
      <c r="D647" s="30" t="s">
        <v>266</v>
      </c>
      <c r="E647" s="30" t="s">
        <v>21</v>
      </c>
      <c r="F647" s="30" t="s">
        <v>196</v>
      </c>
      <c r="G647" s="30" t="s">
        <v>91</v>
      </c>
      <c r="H647" s="30" t="s">
        <v>36</v>
      </c>
      <c r="I647" s="31">
        <v>44713.0</v>
      </c>
      <c r="J647" s="31">
        <v>46539.0</v>
      </c>
      <c r="K647" s="33">
        <v>47635.0</v>
      </c>
      <c r="L647" s="30">
        <v>2.0</v>
      </c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41" t="s">
        <v>1600</v>
      </c>
      <c r="B648" s="42" t="s">
        <v>1601</v>
      </c>
      <c r="C648" s="43"/>
      <c r="D648" s="43"/>
      <c r="E648" s="43"/>
      <c r="F648" s="42" t="s">
        <v>119</v>
      </c>
      <c r="G648" s="43"/>
      <c r="H648" s="43"/>
      <c r="I648" s="44">
        <v>45444.0</v>
      </c>
      <c r="J648" s="44">
        <v>46539.0</v>
      </c>
      <c r="K648" s="45">
        <v>47635.0</v>
      </c>
      <c r="L648" s="46">
        <v>2.0</v>
      </c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29" t="s">
        <v>1602</v>
      </c>
      <c r="B649" s="30" t="s">
        <v>1030</v>
      </c>
      <c r="C649" s="30" t="s">
        <v>1603</v>
      </c>
      <c r="D649" s="30" t="s">
        <v>1604</v>
      </c>
      <c r="E649" s="30" t="s">
        <v>21</v>
      </c>
      <c r="F649" s="30" t="s">
        <v>78</v>
      </c>
      <c r="G649" s="30" t="s">
        <v>41</v>
      </c>
      <c r="H649" s="30" t="s">
        <v>116</v>
      </c>
      <c r="I649" s="31">
        <v>44713.0</v>
      </c>
      <c r="J649" s="32"/>
      <c r="K649" s="33">
        <v>45809.0</v>
      </c>
      <c r="L649" s="30">
        <v>1.0</v>
      </c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29" t="s">
        <v>1605</v>
      </c>
      <c r="B650" s="30" t="s">
        <v>727</v>
      </c>
      <c r="C650" s="30" t="s">
        <v>1606</v>
      </c>
      <c r="D650" s="30" t="s">
        <v>46</v>
      </c>
      <c r="E650" s="30" t="s">
        <v>21</v>
      </c>
      <c r="F650" s="30" t="s">
        <v>243</v>
      </c>
      <c r="G650" s="30">
        <v>2.0</v>
      </c>
      <c r="H650" s="30" t="s">
        <v>23</v>
      </c>
      <c r="I650" s="31">
        <v>45078.0</v>
      </c>
      <c r="J650" s="32"/>
      <c r="K650" s="33">
        <v>46174.0</v>
      </c>
      <c r="L650" s="30">
        <v>1.0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29" t="s">
        <v>1607</v>
      </c>
      <c r="B651" s="30" t="s">
        <v>1608</v>
      </c>
      <c r="C651" s="30" t="s">
        <v>745</v>
      </c>
      <c r="D651" s="30" t="s">
        <v>27</v>
      </c>
      <c r="E651" s="30" t="s">
        <v>21</v>
      </c>
      <c r="F651" s="30" t="s">
        <v>113</v>
      </c>
      <c r="G651" s="30" t="s">
        <v>79</v>
      </c>
      <c r="H651" s="30" t="s">
        <v>285</v>
      </c>
      <c r="I651" s="31">
        <v>44713.0</v>
      </c>
      <c r="J651" s="32"/>
      <c r="K651" s="33">
        <v>45809.0</v>
      </c>
      <c r="L651" s="30">
        <v>1.0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29" t="s">
        <v>1609</v>
      </c>
      <c r="B652" s="30" t="s">
        <v>229</v>
      </c>
      <c r="C652" s="30" t="s">
        <v>1610</v>
      </c>
      <c r="D652" s="30" t="s">
        <v>46</v>
      </c>
      <c r="E652" s="30" t="s">
        <v>21</v>
      </c>
      <c r="F652" s="30" t="s">
        <v>667</v>
      </c>
      <c r="G652" s="30" t="s">
        <v>97</v>
      </c>
      <c r="H652" s="30" t="s">
        <v>98</v>
      </c>
      <c r="I652" s="31">
        <v>44713.0</v>
      </c>
      <c r="J652" s="31">
        <v>45809.0</v>
      </c>
      <c r="K652" s="33">
        <v>46905.0</v>
      </c>
      <c r="L652" s="30">
        <v>2.0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41" t="s">
        <v>1611</v>
      </c>
      <c r="B653" s="42" t="s">
        <v>515</v>
      </c>
      <c r="C653" s="43"/>
      <c r="D653" s="43"/>
      <c r="E653" s="43"/>
      <c r="F653" s="42" t="s">
        <v>119</v>
      </c>
      <c r="G653" s="43"/>
      <c r="H653" s="43"/>
      <c r="I653" s="44">
        <v>45444.0</v>
      </c>
      <c r="J653" s="44">
        <v>46539.0</v>
      </c>
      <c r="K653" s="45">
        <v>47635.0</v>
      </c>
      <c r="L653" s="46">
        <v>2.0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29" t="s">
        <v>1612</v>
      </c>
      <c r="B654" s="30" t="s">
        <v>1613</v>
      </c>
      <c r="C654" s="30" t="s">
        <v>1614</v>
      </c>
      <c r="D654" s="30" t="s">
        <v>270</v>
      </c>
      <c r="E654" s="30" t="s">
        <v>21</v>
      </c>
      <c r="F654" s="30" t="s">
        <v>201</v>
      </c>
      <c r="G654" s="30">
        <v>2.0</v>
      </c>
      <c r="H654" s="30" t="s">
        <v>224</v>
      </c>
      <c r="I654" s="31">
        <v>45078.0</v>
      </c>
      <c r="J654" s="32"/>
      <c r="K654" s="33">
        <v>46174.0</v>
      </c>
      <c r="L654" s="30">
        <v>1.0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29" t="s">
        <v>1615</v>
      </c>
      <c r="B655" s="30" t="s">
        <v>82</v>
      </c>
      <c r="C655" s="30" t="s">
        <v>1616</v>
      </c>
      <c r="D655" s="30" t="s">
        <v>102</v>
      </c>
      <c r="E655" s="30" t="s">
        <v>21</v>
      </c>
      <c r="F655" s="30" t="s">
        <v>78</v>
      </c>
      <c r="G655" s="30" t="s">
        <v>41</v>
      </c>
      <c r="H655" s="30" t="s">
        <v>290</v>
      </c>
      <c r="I655" s="31">
        <v>44713.0</v>
      </c>
      <c r="J655" s="32"/>
      <c r="K655" s="33">
        <v>45809.0</v>
      </c>
      <c r="L655" s="30">
        <v>1.0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29" t="s">
        <v>1617</v>
      </c>
      <c r="B656" s="30" t="s">
        <v>320</v>
      </c>
      <c r="C656" s="30" t="s">
        <v>1618</v>
      </c>
      <c r="D656" s="30" t="s">
        <v>27</v>
      </c>
      <c r="E656" s="30" t="s">
        <v>21</v>
      </c>
      <c r="F656" s="30" t="s">
        <v>47</v>
      </c>
      <c r="G656" s="30">
        <v>3.0</v>
      </c>
      <c r="H656" s="30" t="s">
        <v>244</v>
      </c>
      <c r="I656" s="31">
        <v>45078.0</v>
      </c>
      <c r="J656" s="32"/>
      <c r="K656" s="33">
        <v>46174.0</v>
      </c>
      <c r="L656" s="30">
        <v>1.0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29" t="s">
        <v>1619</v>
      </c>
      <c r="B657" s="30" t="s">
        <v>1620</v>
      </c>
      <c r="C657" s="30" t="s">
        <v>1621</v>
      </c>
      <c r="D657" s="30" t="s">
        <v>27</v>
      </c>
      <c r="E657" s="30" t="s">
        <v>21</v>
      </c>
      <c r="F657" s="30" t="s">
        <v>1622</v>
      </c>
      <c r="G657" s="35"/>
      <c r="H657" s="30" t="s">
        <v>30</v>
      </c>
      <c r="I657" s="31">
        <v>40330.0</v>
      </c>
      <c r="J657" s="32"/>
      <c r="K657" s="33">
        <v>47635.0</v>
      </c>
      <c r="L657" s="30">
        <v>2.0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47" t="s">
        <v>1623</v>
      </c>
      <c r="B658" s="48" t="s">
        <v>309</v>
      </c>
      <c r="C658" s="48" t="s">
        <v>1624</v>
      </c>
      <c r="D658" s="48" t="s">
        <v>107</v>
      </c>
      <c r="E658" s="30" t="s">
        <v>21</v>
      </c>
      <c r="F658" s="49" t="s">
        <v>40</v>
      </c>
      <c r="G658" s="49" t="s">
        <v>41</v>
      </c>
      <c r="H658" s="49" t="s">
        <v>924</v>
      </c>
      <c r="I658" s="31">
        <v>45444.0</v>
      </c>
      <c r="J658" s="32"/>
      <c r="K658" s="33">
        <v>46539.0</v>
      </c>
      <c r="L658" s="30">
        <v>1.0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29" t="s">
        <v>1623</v>
      </c>
      <c r="B659" s="30" t="s">
        <v>1625</v>
      </c>
      <c r="C659" s="30" t="s">
        <v>61</v>
      </c>
      <c r="D659" s="30" t="s">
        <v>27</v>
      </c>
      <c r="E659" s="30" t="s">
        <v>21</v>
      </c>
      <c r="F659" s="30" t="s">
        <v>47</v>
      </c>
      <c r="G659" s="30">
        <v>3.0</v>
      </c>
      <c r="H659" s="30" t="s">
        <v>202</v>
      </c>
      <c r="I659" s="31">
        <v>45078.0</v>
      </c>
      <c r="J659" s="32"/>
      <c r="K659" s="33">
        <v>46174.0</v>
      </c>
      <c r="L659" s="30">
        <v>1.0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29" t="s">
        <v>1626</v>
      </c>
      <c r="B660" s="30" t="s">
        <v>578</v>
      </c>
      <c r="C660" s="30" t="s">
        <v>356</v>
      </c>
      <c r="D660" s="30" t="s">
        <v>46</v>
      </c>
      <c r="E660" s="30" t="s">
        <v>21</v>
      </c>
      <c r="F660" s="30" t="s">
        <v>770</v>
      </c>
      <c r="G660" s="30">
        <v>4.0</v>
      </c>
      <c r="H660" s="30" t="s">
        <v>48</v>
      </c>
      <c r="I660" s="31">
        <v>45078.0</v>
      </c>
      <c r="J660" s="31">
        <v>46174.0</v>
      </c>
      <c r="K660" s="33">
        <v>47270.0</v>
      </c>
      <c r="L660" s="30">
        <v>2.0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29" t="s">
        <v>1627</v>
      </c>
      <c r="B661" s="30" t="s">
        <v>678</v>
      </c>
      <c r="C661" s="30" t="s">
        <v>1628</v>
      </c>
      <c r="D661" s="30" t="s">
        <v>152</v>
      </c>
      <c r="E661" s="30" t="s">
        <v>21</v>
      </c>
      <c r="F661" s="30" t="s">
        <v>78</v>
      </c>
      <c r="G661" s="30" t="s">
        <v>79</v>
      </c>
      <c r="H661" s="30" t="s">
        <v>133</v>
      </c>
      <c r="I661" s="31">
        <v>44713.0</v>
      </c>
      <c r="J661" s="32"/>
      <c r="K661" s="33">
        <v>45809.0</v>
      </c>
      <c r="L661" s="30">
        <v>1.0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29" t="s">
        <v>1629</v>
      </c>
      <c r="B662" s="30" t="s">
        <v>1630</v>
      </c>
      <c r="C662" s="30" t="s">
        <v>1631</v>
      </c>
      <c r="D662" s="30" t="s">
        <v>1632</v>
      </c>
      <c r="E662" s="30" t="s">
        <v>21</v>
      </c>
      <c r="F662" s="30" t="s">
        <v>201</v>
      </c>
      <c r="G662" s="30">
        <v>2.0</v>
      </c>
      <c r="H662" s="30" t="s">
        <v>357</v>
      </c>
      <c r="I662" s="31">
        <v>45078.0</v>
      </c>
      <c r="J662" s="32"/>
      <c r="K662" s="33">
        <v>46174.0</v>
      </c>
      <c r="L662" s="30">
        <v>1.0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29" t="s">
        <v>1633</v>
      </c>
      <c r="B663" s="30" t="s">
        <v>296</v>
      </c>
      <c r="C663" s="30" t="s">
        <v>990</v>
      </c>
      <c r="D663" s="30" t="s">
        <v>102</v>
      </c>
      <c r="E663" s="30" t="s">
        <v>21</v>
      </c>
      <c r="F663" s="30" t="s">
        <v>680</v>
      </c>
      <c r="G663" s="30" t="s">
        <v>85</v>
      </c>
      <c r="H663" s="30" t="s">
        <v>98</v>
      </c>
      <c r="I663" s="31">
        <v>44713.0</v>
      </c>
      <c r="J663" s="32"/>
      <c r="K663" s="33">
        <v>45809.0</v>
      </c>
      <c r="L663" s="30">
        <v>1.0</v>
      </c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29" t="s">
        <v>1634</v>
      </c>
      <c r="B664" s="30" t="s">
        <v>1635</v>
      </c>
      <c r="C664" s="30" t="s">
        <v>1636</v>
      </c>
      <c r="D664" s="30" t="s">
        <v>46</v>
      </c>
      <c r="E664" s="30" t="s">
        <v>21</v>
      </c>
      <c r="F664" s="30" t="s">
        <v>401</v>
      </c>
      <c r="G664" s="30" t="s">
        <v>35</v>
      </c>
      <c r="H664" s="30" t="s">
        <v>36</v>
      </c>
      <c r="I664" s="31">
        <v>43617.0</v>
      </c>
      <c r="J664" s="31">
        <v>46539.0</v>
      </c>
      <c r="K664" s="33">
        <v>47635.0</v>
      </c>
      <c r="L664" s="30">
        <v>2.0</v>
      </c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29" t="s">
        <v>1637</v>
      </c>
      <c r="B665" s="30" t="s">
        <v>1638</v>
      </c>
      <c r="C665" s="30" t="s">
        <v>466</v>
      </c>
      <c r="D665" s="30" t="s">
        <v>152</v>
      </c>
      <c r="E665" s="30" t="s">
        <v>21</v>
      </c>
      <c r="F665" s="30" t="s">
        <v>58</v>
      </c>
      <c r="G665" s="30">
        <v>2.0</v>
      </c>
      <c r="H665" s="30" t="s">
        <v>202</v>
      </c>
      <c r="I665" s="31">
        <v>45078.0</v>
      </c>
      <c r="J665" s="32"/>
      <c r="K665" s="33">
        <v>46174.0</v>
      </c>
      <c r="L665" s="30">
        <v>1.0</v>
      </c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53" t="s">
        <v>1639</v>
      </c>
      <c r="B666" s="54" t="s">
        <v>1640</v>
      </c>
      <c r="C666" s="54" t="s">
        <v>1421</v>
      </c>
      <c r="D666" s="54" t="s">
        <v>20</v>
      </c>
      <c r="E666" s="54" t="s">
        <v>21</v>
      </c>
      <c r="F666" s="54" t="s">
        <v>267</v>
      </c>
      <c r="G666" s="55"/>
      <c r="H666" s="54" t="s">
        <v>30</v>
      </c>
      <c r="I666" s="56">
        <v>36892.0</v>
      </c>
      <c r="J666" s="57"/>
      <c r="K666" s="58">
        <v>47635.0</v>
      </c>
      <c r="L666" s="54">
        <v>1.0</v>
      </c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6" t="s">
        <v>1641</v>
      </c>
      <c r="B667" s="37" t="s">
        <v>1642</v>
      </c>
      <c r="C667" s="37" t="s">
        <v>926</v>
      </c>
      <c r="D667" s="37" t="s">
        <v>65</v>
      </c>
      <c r="E667" s="37" t="s">
        <v>21</v>
      </c>
      <c r="F667" s="37" t="s">
        <v>243</v>
      </c>
      <c r="G667" s="37">
        <v>1.0</v>
      </c>
      <c r="H667" s="37" t="s">
        <v>271</v>
      </c>
      <c r="I667" s="38">
        <v>45078.0</v>
      </c>
      <c r="J667" s="39"/>
      <c r="K667" s="40">
        <v>46174.0</v>
      </c>
      <c r="L667" s="37">
        <v>1.0</v>
      </c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29" t="s">
        <v>1643</v>
      </c>
      <c r="B668" s="30" t="s">
        <v>25</v>
      </c>
      <c r="C668" s="35"/>
      <c r="D668" s="35"/>
      <c r="E668" s="30" t="s">
        <v>21</v>
      </c>
      <c r="F668" s="35"/>
      <c r="G668" s="35"/>
      <c r="H668" s="30" t="s">
        <v>188</v>
      </c>
      <c r="I668" s="31">
        <v>44348.0</v>
      </c>
      <c r="J668" s="32"/>
      <c r="K668" s="33">
        <v>46539.0</v>
      </c>
      <c r="L668" s="30">
        <v>1.0</v>
      </c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29" t="s">
        <v>1644</v>
      </c>
      <c r="B669" s="30" t="s">
        <v>602</v>
      </c>
      <c r="C669" s="35"/>
      <c r="D669" s="35"/>
      <c r="E669" s="35"/>
      <c r="F669" s="30" t="s">
        <v>181</v>
      </c>
      <c r="G669" s="30" t="s">
        <v>35</v>
      </c>
      <c r="H669" s="30" t="s">
        <v>36</v>
      </c>
      <c r="I669" s="31">
        <v>45444.0</v>
      </c>
      <c r="J669" s="32"/>
      <c r="K669" s="33">
        <v>46539.0</v>
      </c>
      <c r="L669" s="30">
        <v>1.0</v>
      </c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29" t="s">
        <v>1645</v>
      </c>
      <c r="B670" s="30" t="s">
        <v>777</v>
      </c>
      <c r="C670" s="30" t="s">
        <v>1646</v>
      </c>
      <c r="D670" s="30" t="s">
        <v>137</v>
      </c>
      <c r="E670" s="30" t="s">
        <v>21</v>
      </c>
      <c r="F670" s="35"/>
      <c r="G670" s="35"/>
      <c r="H670" s="30" t="s">
        <v>1647</v>
      </c>
      <c r="I670" s="31">
        <v>44348.0</v>
      </c>
      <c r="J670" s="32"/>
      <c r="K670" s="33">
        <v>46539.0</v>
      </c>
      <c r="L670" s="30">
        <v>1.0</v>
      </c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29" t="s">
        <v>1648</v>
      </c>
      <c r="B671" s="30" t="s">
        <v>1649</v>
      </c>
      <c r="C671" s="30" t="s">
        <v>1650</v>
      </c>
      <c r="D671" s="30" t="s">
        <v>46</v>
      </c>
      <c r="E671" s="30" t="s">
        <v>21</v>
      </c>
      <c r="F671" s="30" t="s">
        <v>667</v>
      </c>
      <c r="G671" s="30" t="s">
        <v>97</v>
      </c>
      <c r="H671" s="30" t="s">
        <v>98</v>
      </c>
      <c r="I671" s="31">
        <v>44713.0</v>
      </c>
      <c r="J671" s="31">
        <v>45809.0</v>
      </c>
      <c r="K671" s="33">
        <v>46905.0</v>
      </c>
      <c r="L671" s="30">
        <v>2.0</v>
      </c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29" t="s">
        <v>1651</v>
      </c>
      <c r="B672" s="30" t="s">
        <v>1652</v>
      </c>
      <c r="C672" s="30" t="s">
        <v>1653</v>
      </c>
      <c r="D672" s="30" t="s">
        <v>27</v>
      </c>
      <c r="E672" s="30" t="s">
        <v>21</v>
      </c>
      <c r="F672" s="30" t="s">
        <v>676</v>
      </c>
      <c r="G672" s="35"/>
      <c r="H672" s="30" t="s">
        <v>30</v>
      </c>
      <c r="I672" s="31">
        <v>44348.0</v>
      </c>
      <c r="J672" s="32"/>
      <c r="K672" s="33">
        <v>47635.0</v>
      </c>
      <c r="L672" s="30">
        <v>1.0</v>
      </c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29" t="s">
        <v>1654</v>
      </c>
      <c r="B673" s="30" t="s">
        <v>242</v>
      </c>
      <c r="C673" s="30" t="s">
        <v>917</v>
      </c>
      <c r="D673" s="30" t="s">
        <v>20</v>
      </c>
      <c r="E673" s="30" t="s">
        <v>21</v>
      </c>
      <c r="F673" s="30" t="s">
        <v>113</v>
      </c>
      <c r="G673" s="30" t="s">
        <v>41</v>
      </c>
      <c r="H673" s="30" t="s">
        <v>42</v>
      </c>
      <c r="I673" s="31">
        <v>44713.0</v>
      </c>
      <c r="J673" s="32"/>
      <c r="K673" s="33">
        <v>45809.0</v>
      </c>
      <c r="L673" s="30">
        <v>1.0</v>
      </c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41" t="s">
        <v>1655</v>
      </c>
      <c r="B674" s="42" t="s">
        <v>1258</v>
      </c>
      <c r="C674" s="43"/>
      <c r="D674" s="43"/>
      <c r="E674" s="43"/>
      <c r="F674" s="42" t="s">
        <v>119</v>
      </c>
      <c r="G674" s="43"/>
      <c r="H674" s="43"/>
      <c r="I674" s="44">
        <v>45444.0</v>
      </c>
      <c r="J674" s="44">
        <v>46539.0</v>
      </c>
      <c r="K674" s="45">
        <v>47635.0</v>
      </c>
      <c r="L674" s="46">
        <v>2.0</v>
      </c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47" t="s">
        <v>1656</v>
      </c>
      <c r="B675" s="48" t="s">
        <v>750</v>
      </c>
      <c r="C675" s="48" t="s">
        <v>1657</v>
      </c>
      <c r="D675" s="48" t="s">
        <v>128</v>
      </c>
      <c r="E675" s="30" t="s">
        <v>21</v>
      </c>
      <c r="F675" s="49" t="s">
        <v>336</v>
      </c>
      <c r="G675" s="49" t="s">
        <v>79</v>
      </c>
      <c r="H675" s="49" t="s">
        <v>337</v>
      </c>
      <c r="I675" s="31">
        <v>45444.0</v>
      </c>
      <c r="J675" s="32"/>
      <c r="K675" s="33">
        <v>46539.0</v>
      </c>
      <c r="L675" s="30">
        <v>1.0</v>
      </c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29" t="s">
        <v>1658</v>
      </c>
      <c r="B676" s="30" t="s">
        <v>918</v>
      </c>
      <c r="C676" s="30" t="s">
        <v>1659</v>
      </c>
      <c r="D676" s="30" t="s">
        <v>102</v>
      </c>
      <c r="E676" s="30" t="s">
        <v>21</v>
      </c>
      <c r="F676" s="30" t="s">
        <v>243</v>
      </c>
      <c r="G676" s="30">
        <v>3.0</v>
      </c>
      <c r="H676" s="30" t="s">
        <v>244</v>
      </c>
      <c r="I676" s="31">
        <v>45078.0</v>
      </c>
      <c r="J676" s="32"/>
      <c r="K676" s="33">
        <v>46174.0</v>
      </c>
      <c r="L676" s="30">
        <v>1.0</v>
      </c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29" t="s">
        <v>1660</v>
      </c>
      <c r="B677" s="30" t="s">
        <v>499</v>
      </c>
      <c r="C677" s="35"/>
      <c r="D677" s="35"/>
      <c r="E677" s="35"/>
      <c r="F677" s="30" t="s">
        <v>213</v>
      </c>
      <c r="G677" s="30" t="s">
        <v>91</v>
      </c>
      <c r="H677" s="30" t="s">
        <v>36</v>
      </c>
      <c r="I677" s="31">
        <v>45444.0</v>
      </c>
      <c r="J677" s="32"/>
      <c r="K677" s="33">
        <v>46539.0</v>
      </c>
      <c r="L677" s="30">
        <v>1.0</v>
      </c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29" t="s">
        <v>1661</v>
      </c>
      <c r="B678" s="30" t="s">
        <v>796</v>
      </c>
      <c r="C678" s="30" t="s">
        <v>1662</v>
      </c>
      <c r="D678" s="30" t="s">
        <v>20</v>
      </c>
      <c r="E678" s="30" t="s">
        <v>21</v>
      </c>
      <c r="F678" s="30" t="s">
        <v>243</v>
      </c>
      <c r="G678" s="30">
        <v>1.0</v>
      </c>
      <c r="H678" s="30" t="s">
        <v>23</v>
      </c>
      <c r="I678" s="31">
        <v>45078.0</v>
      </c>
      <c r="J678" s="32"/>
      <c r="K678" s="33">
        <v>46174.0</v>
      </c>
      <c r="L678" s="30">
        <v>1.0</v>
      </c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29" t="s">
        <v>1661</v>
      </c>
      <c r="B679" s="30" t="s">
        <v>918</v>
      </c>
      <c r="C679" s="30" t="s">
        <v>1125</v>
      </c>
      <c r="D679" s="30" t="s">
        <v>57</v>
      </c>
      <c r="E679" s="30" t="s">
        <v>21</v>
      </c>
      <c r="F679" s="30" t="s">
        <v>289</v>
      </c>
      <c r="G679" s="30" t="s">
        <v>41</v>
      </c>
      <c r="H679" s="30" t="s">
        <v>80</v>
      </c>
      <c r="I679" s="31">
        <v>44713.0</v>
      </c>
      <c r="J679" s="32"/>
      <c r="K679" s="33">
        <v>45809.0</v>
      </c>
      <c r="L679" s="30">
        <v>1.0</v>
      </c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59"/>
      <c r="B680" s="60"/>
      <c r="C680" s="60"/>
      <c r="D680" s="60"/>
      <c r="E680" s="30" t="s">
        <v>21</v>
      </c>
      <c r="F680" s="61"/>
      <c r="G680" s="61"/>
      <c r="H680" s="49" t="s">
        <v>337</v>
      </c>
      <c r="I680" s="31">
        <v>45444.0</v>
      </c>
      <c r="J680" s="32"/>
      <c r="K680" s="33">
        <v>46539.0</v>
      </c>
      <c r="L680" s="30">
        <v>1.0</v>
      </c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62"/>
      <c r="B681" s="63"/>
      <c r="C681" s="63"/>
      <c r="D681" s="63"/>
      <c r="E681" s="63"/>
      <c r="F681" s="63"/>
      <c r="G681" s="63"/>
      <c r="H681" s="63"/>
      <c r="I681" s="64"/>
      <c r="J681" s="64"/>
      <c r="K681" s="65"/>
      <c r="L681" s="6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62"/>
      <c r="B682" s="63"/>
      <c r="C682" s="63"/>
      <c r="D682" s="63"/>
      <c r="E682" s="30"/>
      <c r="F682" s="63"/>
      <c r="G682" s="30"/>
      <c r="H682" s="30"/>
      <c r="I682" s="64"/>
      <c r="J682" s="64"/>
      <c r="K682" s="65"/>
      <c r="L682" s="6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62"/>
      <c r="B683" s="63"/>
      <c r="C683" s="63"/>
      <c r="D683" s="63"/>
      <c r="E683" s="30"/>
      <c r="F683" s="63"/>
      <c r="G683" s="30"/>
      <c r="H683" s="30"/>
      <c r="I683" s="64"/>
      <c r="J683" s="64"/>
      <c r="K683" s="65"/>
      <c r="L683" s="6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62"/>
      <c r="B684" s="63"/>
      <c r="C684" s="63"/>
      <c r="D684" s="63"/>
      <c r="E684" s="63"/>
      <c r="F684" s="63"/>
      <c r="G684" s="63"/>
      <c r="H684" s="63"/>
      <c r="I684" s="64"/>
      <c r="J684" s="64"/>
      <c r="K684" s="65"/>
      <c r="L684" s="6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62"/>
      <c r="B685" s="63"/>
      <c r="C685" s="63"/>
      <c r="D685" s="63"/>
      <c r="E685" s="63"/>
      <c r="F685" s="63"/>
      <c r="G685" s="63"/>
      <c r="H685" s="63"/>
      <c r="I685" s="64"/>
      <c r="J685" s="64"/>
      <c r="K685" s="65"/>
      <c r="L685" s="6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62"/>
      <c r="B686" s="63"/>
      <c r="C686" s="63"/>
      <c r="D686" s="63"/>
      <c r="E686" s="63"/>
      <c r="F686" s="63"/>
      <c r="G686" s="63"/>
      <c r="H686" s="63"/>
      <c r="I686" s="64"/>
      <c r="J686" s="64"/>
      <c r="K686" s="65"/>
      <c r="L686" s="6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62"/>
      <c r="B687" s="63"/>
      <c r="C687" s="63"/>
      <c r="D687" s="63"/>
      <c r="E687" s="63"/>
      <c r="F687" s="63"/>
      <c r="G687" s="63"/>
      <c r="H687" s="63"/>
      <c r="I687" s="64"/>
      <c r="J687" s="64"/>
      <c r="K687" s="65"/>
      <c r="L687" s="6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62"/>
      <c r="B688" s="63"/>
      <c r="C688" s="63"/>
      <c r="D688" s="63"/>
      <c r="E688" s="63"/>
      <c r="F688" s="63"/>
      <c r="G688" s="63"/>
      <c r="H688" s="63"/>
      <c r="I688" s="64"/>
      <c r="J688" s="64"/>
      <c r="K688" s="65"/>
      <c r="L688" s="6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62"/>
      <c r="B689" s="63"/>
      <c r="C689" s="63"/>
      <c r="D689" s="63"/>
      <c r="E689" s="63"/>
      <c r="F689" s="63"/>
      <c r="G689" s="63"/>
      <c r="H689" s="63"/>
      <c r="I689" s="64"/>
      <c r="J689" s="64"/>
      <c r="K689" s="65"/>
      <c r="L689" s="6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62"/>
      <c r="B690" s="63"/>
      <c r="C690" s="63"/>
      <c r="D690" s="63"/>
      <c r="E690" s="63"/>
      <c r="F690" s="63"/>
      <c r="G690" s="63"/>
      <c r="H690" s="63"/>
      <c r="I690" s="64"/>
      <c r="J690" s="64"/>
      <c r="K690" s="65"/>
      <c r="L690" s="6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62"/>
      <c r="B691" s="63"/>
      <c r="C691" s="63"/>
      <c r="D691" s="63"/>
      <c r="E691" s="63"/>
      <c r="F691" s="63"/>
      <c r="G691" s="63"/>
      <c r="H691" s="63"/>
      <c r="I691" s="64"/>
      <c r="J691" s="64"/>
      <c r="K691" s="65"/>
      <c r="L691" s="6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62"/>
      <c r="B692" s="63"/>
      <c r="C692" s="63"/>
      <c r="D692" s="63"/>
      <c r="E692" s="30"/>
      <c r="F692" s="63"/>
      <c r="G692" s="34"/>
      <c r="H692" s="30"/>
      <c r="I692" s="64"/>
      <c r="J692" s="64"/>
      <c r="K692" s="65"/>
      <c r="L692" s="6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62"/>
      <c r="B693" s="63"/>
      <c r="C693" s="63"/>
      <c r="D693" s="63"/>
      <c r="E693" s="63"/>
      <c r="F693" s="63"/>
      <c r="G693" s="63"/>
      <c r="H693" s="63"/>
      <c r="I693" s="64"/>
      <c r="J693" s="64"/>
      <c r="K693" s="65"/>
      <c r="L693" s="6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62"/>
      <c r="B694" s="63"/>
      <c r="C694" s="63"/>
      <c r="D694" s="52"/>
      <c r="E694" s="30"/>
      <c r="F694" s="63"/>
      <c r="G694" s="30"/>
      <c r="H694" s="30"/>
      <c r="I694" s="64"/>
      <c r="J694" s="64"/>
      <c r="K694" s="65"/>
      <c r="L694" s="6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62"/>
      <c r="B695" s="63"/>
      <c r="C695" s="63"/>
      <c r="D695" s="63"/>
      <c r="E695" s="30"/>
      <c r="F695" s="63"/>
      <c r="G695" s="30"/>
      <c r="H695" s="30"/>
      <c r="I695" s="64"/>
      <c r="J695" s="64"/>
      <c r="K695" s="65"/>
      <c r="L695" s="6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62"/>
      <c r="B696" s="63"/>
      <c r="C696" s="63"/>
      <c r="D696" s="63"/>
      <c r="E696" s="30"/>
      <c r="F696" s="63"/>
      <c r="G696" s="30"/>
      <c r="H696" s="30"/>
      <c r="I696" s="64"/>
      <c r="J696" s="64"/>
      <c r="K696" s="65"/>
      <c r="L696" s="6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62"/>
      <c r="B697" s="63"/>
      <c r="C697" s="63"/>
      <c r="D697" s="63"/>
      <c r="E697" s="30"/>
      <c r="F697" s="63"/>
      <c r="G697" s="30"/>
      <c r="H697" s="30"/>
      <c r="I697" s="64"/>
      <c r="J697" s="64"/>
      <c r="K697" s="65"/>
      <c r="L697" s="6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62"/>
      <c r="B698" s="63"/>
      <c r="C698" s="63"/>
      <c r="D698" s="63"/>
      <c r="E698" s="63"/>
      <c r="F698" s="63"/>
      <c r="G698" s="63"/>
      <c r="H698" s="63"/>
      <c r="I698" s="64"/>
      <c r="J698" s="64"/>
      <c r="K698" s="65"/>
      <c r="L698" s="6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62"/>
      <c r="B699" s="63"/>
      <c r="C699" s="63"/>
      <c r="D699" s="63"/>
      <c r="E699" s="63"/>
      <c r="F699" s="63"/>
      <c r="G699" s="63"/>
      <c r="H699" s="63"/>
      <c r="I699" s="64"/>
      <c r="J699" s="64"/>
      <c r="K699" s="65"/>
      <c r="L699" s="6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62"/>
      <c r="B700" s="63"/>
      <c r="C700" s="63"/>
      <c r="D700" s="63"/>
      <c r="E700" s="30"/>
      <c r="F700" s="63"/>
      <c r="G700" s="30"/>
      <c r="H700" s="30"/>
      <c r="I700" s="64"/>
      <c r="J700" s="64"/>
      <c r="K700" s="65"/>
      <c r="L700" s="6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62"/>
      <c r="B701" s="63"/>
      <c r="C701" s="63"/>
      <c r="D701" s="63"/>
      <c r="E701" s="63"/>
      <c r="F701" s="63"/>
      <c r="G701" s="63"/>
      <c r="H701" s="63"/>
      <c r="I701" s="64"/>
      <c r="J701" s="64"/>
      <c r="K701" s="65"/>
      <c r="L701" s="6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62"/>
      <c r="B702" s="63"/>
      <c r="C702" s="63"/>
      <c r="D702" s="63"/>
      <c r="E702" s="30"/>
      <c r="F702" s="63"/>
      <c r="G702" s="30"/>
      <c r="H702" s="30"/>
      <c r="I702" s="64"/>
      <c r="J702" s="64"/>
      <c r="K702" s="65"/>
      <c r="L702" s="6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62"/>
      <c r="B703" s="63"/>
      <c r="C703" s="63"/>
      <c r="D703" s="63"/>
      <c r="E703" s="63"/>
      <c r="F703" s="63"/>
      <c r="G703" s="63"/>
      <c r="H703" s="63"/>
      <c r="I703" s="64"/>
      <c r="J703" s="64"/>
      <c r="K703" s="65"/>
      <c r="L703" s="6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62"/>
      <c r="B704" s="63"/>
      <c r="C704" s="63"/>
      <c r="D704" s="63"/>
      <c r="E704" s="63"/>
      <c r="F704" s="63"/>
      <c r="G704" s="63"/>
      <c r="H704" s="63"/>
      <c r="I704" s="64"/>
      <c r="J704" s="64"/>
      <c r="K704" s="65"/>
      <c r="L704" s="6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62"/>
      <c r="B705" s="63"/>
      <c r="C705" s="63"/>
      <c r="D705" s="63"/>
      <c r="E705" s="63"/>
      <c r="F705" s="63"/>
      <c r="G705" s="63"/>
      <c r="H705" s="63"/>
      <c r="I705" s="64"/>
      <c r="J705" s="64"/>
      <c r="K705" s="65"/>
      <c r="L705" s="6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41"/>
      <c r="B706" s="42"/>
      <c r="C706" s="42"/>
      <c r="D706" s="42"/>
      <c r="E706" s="42"/>
      <c r="F706" s="42"/>
      <c r="G706" s="66"/>
      <c r="H706" s="42"/>
      <c r="I706" s="44"/>
      <c r="J706" s="67"/>
      <c r="K706" s="68"/>
      <c r="L706" s="4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41"/>
      <c r="B707" s="42"/>
      <c r="C707" s="42"/>
      <c r="D707" s="42"/>
      <c r="E707" s="42"/>
      <c r="F707" s="42"/>
      <c r="G707" s="66"/>
      <c r="H707" s="42"/>
      <c r="I707" s="44"/>
      <c r="J707" s="67"/>
      <c r="K707" s="68"/>
      <c r="L707" s="4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69"/>
      <c r="B708" s="70"/>
      <c r="C708" s="70"/>
      <c r="D708" s="70"/>
      <c r="E708" s="70"/>
      <c r="F708" s="70"/>
      <c r="G708" s="70"/>
      <c r="H708" s="70"/>
      <c r="I708" s="71"/>
      <c r="J708" s="71"/>
      <c r="K708" s="7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69"/>
      <c r="B709" s="70"/>
      <c r="C709" s="70"/>
      <c r="D709" s="70"/>
      <c r="E709" s="70"/>
      <c r="F709" s="70"/>
      <c r="G709" s="70"/>
      <c r="H709" s="70"/>
      <c r="I709" s="71"/>
      <c r="J709" s="71"/>
      <c r="K709" s="7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69"/>
      <c r="B710" s="70"/>
      <c r="C710" s="70"/>
      <c r="D710" s="70"/>
      <c r="E710" s="70"/>
      <c r="F710" s="70"/>
      <c r="G710" s="70"/>
      <c r="H710" s="70"/>
      <c r="I710" s="71"/>
      <c r="J710" s="71"/>
      <c r="K710" s="7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69"/>
      <c r="B711" s="70"/>
      <c r="C711" s="70"/>
      <c r="D711" s="70"/>
      <c r="E711" s="70"/>
      <c r="F711" s="70"/>
      <c r="G711" s="70"/>
      <c r="H711" s="70"/>
      <c r="I711" s="71"/>
      <c r="J711" s="71"/>
      <c r="K711" s="7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69"/>
      <c r="B712" s="70"/>
      <c r="C712" s="70"/>
      <c r="D712" s="70"/>
      <c r="E712" s="70"/>
      <c r="F712" s="70"/>
      <c r="G712" s="70"/>
      <c r="H712" s="70"/>
      <c r="I712" s="71"/>
      <c r="J712" s="71"/>
      <c r="K712" s="7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69"/>
      <c r="B713" s="70"/>
      <c r="C713" s="70"/>
      <c r="D713" s="70"/>
      <c r="E713" s="70"/>
      <c r="F713" s="70"/>
      <c r="G713" s="70"/>
      <c r="H713" s="70"/>
      <c r="I713" s="71"/>
      <c r="J713" s="71"/>
      <c r="K713" s="7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69"/>
      <c r="B714" s="70"/>
      <c r="C714" s="70"/>
      <c r="D714" s="70"/>
      <c r="E714" s="70"/>
      <c r="F714" s="70"/>
      <c r="G714" s="70"/>
      <c r="H714" s="70"/>
      <c r="I714" s="71"/>
      <c r="J714" s="71"/>
      <c r="K714" s="7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69"/>
      <c r="B715" s="70"/>
      <c r="C715" s="70"/>
      <c r="D715" s="70"/>
      <c r="E715" s="70"/>
      <c r="F715" s="70"/>
      <c r="G715" s="70"/>
      <c r="H715" s="70"/>
      <c r="I715" s="71"/>
      <c r="J715" s="71"/>
      <c r="K715" s="7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69"/>
      <c r="B716" s="70"/>
      <c r="C716" s="70"/>
      <c r="D716" s="70"/>
      <c r="E716" s="70"/>
      <c r="F716" s="70"/>
      <c r="G716" s="70"/>
      <c r="H716" s="70"/>
      <c r="I716" s="71"/>
      <c r="J716" s="71"/>
      <c r="K716" s="7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69"/>
      <c r="B717" s="70"/>
      <c r="C717" s="70"/>
      <c r="D717" s="70"/>
      <c r="E717" s="70"/>
      <c r="F717" s="70"/>
      <c r="G717" s="70"/>
      <c r="H717" s="70"/>
      <c r="I717" s="71"/>
      <c r="J717" s="71"/>
      <c r="K717" s="7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69"/>
      <c r="B718" s="70"/>
      <c r="C718" s="70"/>
      <c r="D718" s="70"/>
      <c r="E718" s="70"/>
      <c r="F718" s="70"/>
      <c r="G718" s="70"/>
      <c r="H718" s="70"/>
      <c r="I718" s="71"/>
      <c r="J718" s="71"/>
      <c r="K718" s="72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69"/>
      <c r="B719" s="70"/>
      <c r="C719" s="70"/>
      <c r="D719" s="70"/>
      <c r="E719" s="70"/>
      <c r="F719" s="70"/>
      <c r="G719" s="70"/>
      <c r="H719" s="70"/>
      <c r="I719" s="71"/>
      <c r="J719" s="71"/>
      <c r="K719" s="72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69"/>
      <c r="B720" s="70"/>
      <c r="C720" s="70"/>
      <c r="D720" s="70"/>
      <c r="E720" s="70"/>
      <c r="F720" s="70"/>
      <c r="G720" s="70"/>
      <c r="H720" s="70"/>
      <c r="I720" s="71"/>
      <c r="J720" s="71"/>
      <c r="K720" s="72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69"/>
      <c r="B721" s="70"/>
      <c r="C721" s="70"/>
      <c r="D721" s="70"/>
      <c r="E721" s="70"/>
      <c r="F721" s="70"/>
      <c r="G721" s="70"/>
      <c r="H721" s="70"/>
      <c r="I721" s="71"/>
      <c r="J721" s="71"/>
      <c r="K721" s="72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69"/>
      <c r="B722" s="70"/>
      <c r="C722" s="70"/>
      <c r="D722" s="70"/>
      <c r="E722" s="70"/>
      <c r="F722" s="70"/>
      <c r="G722" s="70"/>
      <c r="H722" s="70"/>
      <c r="I722" s="71"/>
      <c r="J722" s="71"/>
      <c r="K722" s="72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69"/>
      <c r="B723" s="70"/>
      <c r="C723" s="70"/>
      <c r="D723" s="70"/>
      <c r="E723" s="70"/>
      <c r="F723" s="70"/>
      <c r="G723" s="70"/>
      <c r="H723" s="70"/>
      <c r="I723" s="71"/>
      <c r="J723" s="71"/>
      <c r="K723" s="72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69"/>
      <c r="B724" s="70"/>
      <c r="C724" s="70"/>
      <c r="D724" s="70"/>
      <c r="E724" s="70"/>
      <c r="F724" s="70"/>
      <c r="G724" s="70"/>
      <c r="H724" s="70"/>
      <c r="I724" s="71"/>
      <c r="J724" s="71"/>
      <c r="K724" s="72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69"/>
      <c r="B725" s="70"/>
      <c r="C725" s="70"/>
      <c r="D725" s="70"/>
      <c r="E725" s="70"/>
      <c r="F725" s="70"/>
      <c r="G725" s="70"/>
      <c r="H725" s="70"/>
      <c r="I725" s="71"/>
      <c r="J725" s="71"/>
      <c r="K725" s="72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69"/>
      <c r="B726" s="70"/>
      <c r="C726" s="70"/>
      <c r="D726" s="70"/>
      <c r="E726" s="70"/>
      <c r="F726" s="70"/>
      <c r="G726" s="70"/>
      <c r="H726" s="70"/>
      <c r="I726" s="71"/>
      <c r="J726" s="71"/>
      <c r="K726" s="72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69"/>
      <c r="B727" s="70"/>
      <c r="C727" s="70"/>
      <c r="D727" s="70"/>
      <c r="E727" s="70"/>
      <c r="F727" s="70"/>
      <c r="G727" s="70"/>
      <c r="H727" s="70"/>
      <c r="I727" s="71"/>
      <c r="J727" s="71"/>
      <c r="K727" s="72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69"/>
      <c r="B728" s="70"/>
      <c r="C728" s="70"/>
      <c r="D728" s="70"/>
      <c r="E728" s="70"/>
      <c r="F728" s="70"/>
      <c r="G728" s="70"/>
      <c r="H728" s="70"/>
      <c r="I728" s="71"/>
      <c r="J728" s="71"/>
      <c r="K728" s="72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69"/>
      <c r="B729" s="70"/>
      <c r="C729" s="70"/>
      <c r="D729" s="70"/>
      <c r="E729" s="70"/>
      <c r="F729" s="70"/>
      <c r="G729" s="70"/>
      <c r="H729" s="70"/>
      <c r="I729" s="71"/>
      <c r="J729" s="71"/>
      <c r="K729" s="72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69"/>
      <c r="B730" s="70"/>
      <c r="C730" s="70"/>
      <c r="D730" s="70"/>
      <c r="E730" s="70"/>
      <c r="F730" s="70"/>
      <c r="G730" s="70"/>
      <c r="H730" s="70"/>
      <c r="I730" s="71"/>
      <c r="J730" s="71"/>
      <c r="K730" s="72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69"/>
      <c r="B731" s="70"/>
      <c r="C731" s="70"/>
      <c r="D731" s="70"/>
      <c r="E731" s="70"/>
      <c r="F731" s="70"/>
      <c r="G731" s="70"/>
      <c r="H731" s="70"/>
      <c r="I731" s="71"/>
      <c r="J731" s="71"/>
      <c r="K731" s="72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69"/>
      <c r="B732" s="70"/>
      <c r="C732" s="70"/>
      <c r="D732" s="70"/>
      <c r="E732" s="70"/>
      <c r="F732" s="70"/>
      <c r="G732" s="70"/>
      <c r="H732" s="70"/>
      <c r="I732" s="71"/>
      <c r="J732" s="71"/>
      <c r="K732" s="72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69"/>
      <c r="B733" s="70"/>
      <c r="C733" s="70"/>
      <c r="D733" s="70"/>
      <c r="E733" s="70"/>
      <c r="F733" s="70"/>
      <c r="G733" s="70"/>
      <c r="H733" s="70"/>
      <c r="I733" s="71"/>
      <c r="J733" s="71"/>
      <c r="K733" s="72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69"/>
      <c r="B734" s="70"/>
      <c r="C734" s="70"/>
      <c r="D734" s="70"/>
      <c r="E734" s="70"/>
      <c r="F734" s="70"/>
      <c r="G734" s="70"/>
      <c r="H734" s="70"/>
      <c r="I734" s="71"/>
      <c r="J734" s="71"/>
      <c r="K734" s="72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69"/>
      <c r="B735" s="70"/>
      <c r="C735" s="70"/>
      <c r="D735" s="70"/>
      <c r="E735" s="70"/>
      <c r="F735" s="70"/>
      <c r="G735" s="70"/>
      <c r="H735" s="70"/>
      <c r="I735" s="71"/>
      <c r="J735" s="71"/>
      <c r="K735" s="72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69"/>
      <c r="B736" s="70"/>
      <c r="C736" s="70"/>
      <c r="D736" s="70"/>
      <c r="E736" s="70"/>
      <c r="F736" s="70"/>
      <c r="G736" s="70"/>
      <c r="H736" s="70"/>
      <c r="I736" s="71"/>
      <c r="J736" s="71"/>
      <c r="K736" s="72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69"/>
      <c r="B737" s="70"/>
      <c r="C737" s="70"/>
      <c r="D737" s="70"/>
      <c r="E737" s="70"/>
      <c r="F737" s="70"/>
      <c r="G737" s="70"/>
      <c r="H737" s="70"/>
      <c r="I737" s="71"/>
      <c r="J737" s="71"/>
      <c r="K737" s="72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69"/>
      <c r="B738" s="70"/>
      <c r="C738" s="70"/>
      <c r="D738" s="70"/>
      <c r="E738" s="70"/>
      <c r="F738" s="70"/>
      <c r="G738" s="70"/>
      <c r="H738" s="70"/>
      <c r="I738" s="71"/>
      <c r="J738" s="71"/>
      <c r="K738" s="7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69"/>
      <c r="B739" s="70"/>
      <c r="C739" s="70"/>
      <c r="D739" s="70"/>
      <c r="E739" s="70"/>
      <c r="F739" s="70"/>
      <c r="G739" s="70"/>
      <c r="H739" s="70"/>
      <c r="I739" s="71"/>
      <c r="J739" s="71"/>
      <c r="K739" s="7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69"/>
      <c r="B740" s="70"/>
      <c r="C740" s="70"/>
      <c r="D740" s="70"/>
      <c r="E740" s="70"/>
      <c r="F740" s="70"/>
      <c r="G740" s="70"/>
      <c r="H740" s="70"/>
      <c r="I740" s="71"/>
      <c r="J740" s="71"/>
      <c r="K740" s="7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69"/>
      <c r="B741" s="70"/>
      <c r="C741" s="70"/>
      <c r="D741" s="70"/>
      <c r="E741" s="70"/>
      <c r="F741" s="70"/>
      <c r="G741" s="70"/>
      <c r="H741" s="70"/>
      <c r="I741" s="71"/>
      <c r="J741" s="71"/>
      <c r="K741" s="7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69"/>
      <c r="B742" s="70"/>
      <c r="C742" s="70"/>
      <c r="D742" s="70"/>
      <c r="E742" s="70"/>
      <c r="F742" s="70"/>
      <c r="G742" s="70"/>
      <c r="H742" s="70"/>
      <c r="I742" s="71"/>
      <c r="J742" s="71"/>
      <c r="K742" s="72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69"/>
      <c r="B743" s="70"/>
      <c r="C743" s="70"/>
      <c r="D743" s="70"/>
      <c r="E743" s="70"/>
      <c r="F743" s="70"/>
      <c r="G743" s="70"/>
      <c r="H743" s="70"/>
      <c r="I743" s="71"/>
      <c r="J743" s="71"/>
      <c r="K743" s="72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69"/>
      <c r="B744" s="70"/>
      <c r="C744" s="70"/>
      <c r="D744" s="70"/>
      <c r="E744" s="70"/>
      <c r="F744" s="70"/>
      <c r="G744" s="70"/>
      <c r="H744" s="70"/>
      <c r="I744" s="71"/>
      <c r="J744" s="71"/>
      <c r="K744" s="72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69"/>
      <c r="B745" s="70"/>
      <c r="C745" s="70"/>
      <c r="D745" s="70"/>
      <c r="E745" s="70"/>
      <c r="F745" s="70"/>
      <c r="G745" s="70"/>
      <c r="H745" s="70"/>
      <c r="I745" s="71"/>
      <c r="J745" s="71"/>
      <c r="K745" s="72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69"/>
      <c r="B746" s="70"/>
      <c r="C746" s="70"/>
      <c r="D746" s="70"/>
      <c r="E746" s="70"/>
      <c r="F746" s="70"/>
      <c r="G746" s="70"/>
      <c r="H746" s="70"/>
      <c r="I746" s="71"/>
      <c r="J746" s="71"/>
      <c r="K746" s="72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69"/>
      <c r="B747" s="70"/>
      <c r="C747" s="70"/>
      <c r="D747" s="70"/>
      <c r="E747" s="70"/>
      <c r="F747" s="70"/>
      <c r="G747" s="70"/>
      <c r="H747" s="70"/>
      <c r="I747" s="71"/>
      <c r="J747" s="71"/>
      <c r="K747" s="72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69"/>
      <c r="B748" s="70"/>
      <c r="C748" s="70"/>
      <c r="D748" s="70"/>
      <c r="E748" s="70"/>
      <c r="F748" s="70"/>
      <c r="G748" s="70"/>
      <c r="H748" s="70"/>
      <c r="I748" s="71"/>
      <c r="J748" s="71"/>
      <c r="K748" s="72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69"/>
      <c r="B749" s="70"/>
      <c r="C749" s="70"/>
      <c r="D749" s="70"/>
      <c r="E749" s="70"/>
      <c r="F749" s="70"/>
      <c r="G749" s="70"/>
      <c r="H749" s="70"/>
      <c r="I749" s="71"/>
      <c r="J749" s="71"/>
      <c r="K749" s="72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69"/>
      <c r="B750" s="70"/>
      <c r="C750" s="70"/>
      <c r="D750" s="70"/>
      <c r="E750" s="70"/>
      <c r="F750" s="70"/>
      <c r="G750" s="70"/>
      <c r="H750" s="70"/>
      <c r="I750" s="71"/>
      <c r="J750" s="71"/>
      <c r="K750" s="72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69"/>
      <c r="B751" s="70"/>
      <c r="C751" s="70"/>
      <c r="D751" s="70"/>
      <c r="E751" s="70"/>
      <c r="F751" s="70"/>
      <c r="G751" s="70"/>
      <c r="H751" s="70"/>
      <c r="I751" s="71"/>
      <c r="J751" s="71"/>
      <c r="K751" s="7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69"/>
      <c r="B752" s="70"/>
      <c r="C752" s="70"/>
      <c r="D752" s="70"/>
      <c r="E752" s="70"/>
      <c r="F752" s="70"/>
      <c r="G752" s="70"/>
      <c r="H752" s="70"/>
      <c r="I752" s="71"/>
      <c r="J752" s="71"/>
      <c r="K752" s="7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69"/>
      <c r="B753" s="70"/>
      <c r="C753" s="70"/>
      <c r="D753" s="70"/>
      <c r="E753" s="70"/>
      <c r="F753" s="70"/>
      <c r="G753" s="70"/>
      <c r="H753" s="70"/>
      <c r="I753" s="71"/>
      <c r="J753" s="71"/>
      <c r="K753" s="7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69"/>
      <c r="B754" s="70"/>
      <c r="C754" s="70"/>
      <c r="D754" s="70"/>
      <c r="E754" s="70"/>
      <c r="F754" s="70"/>
      <c r="G754" s="70"/>
      <c r="H754" s="70"/>
      <c r="I754" s="71"/>
      <c r="J754" s="71"/>
      <c r="K754" s="72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69"/>
      <c r="B755" s="70"/>
      <c r="C755" s="70"/>
      <c r="D755" s="70"/>
      <c r="E755" s="70"/>
      <c r="F755" s="70"/>
      <c r="G755" s="70"/>
      <c r="H755" s="70"/>
      <c r="I755" s="71"/>
      <c r="J755" s="71"/>
      <c r="K755" s="72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69"/>
      <c r="B756" s="70"/>
      <c r="C756" s="70"/>
      <c r="D756" s="70"/>
      <c r="E756" s="70"/>
      <c r="F756" s="70"/>
      <c r="G756" s="70"/>
      <c r="H756" s="70"/>
      <c r="I756" s="71"/>
      <c r="J756" s="71"/>
      <c r="K756" s="72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69"/>
      <c r="B757" s="70"/>
      <c r="C757" s="70"/>
      <c r="D757" s="70"/>
      <c r="E757" s="70"/>
      <c r="F757" s="70"/>
      <c r="G757" s="70"/>
      <c r="H757" s="70"/>
      <c r="I757" s="71"/>
      <c r="J757" s="71"/>
      <c r="K757" s="72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69"/>
      <c r="B758" s="70"/>
      <c r="C758" s="70"/>
      <c r="D758" s="70"/>
      <c r="E758" s="70"/>
      <c r="F758" s="70"/>
      <c r="G758" s="70"/>
      <c r="H758" s="70"/>
      <c r="I758" s="71"/>
      <c r="J758" s="71"/>
      <c r="K758" s="72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69"/>
      <c r="B759" s="70"/>
      <c r="C759" s="70"/>
      <c r="D759" s="70"/>
      <c r="E759" s="70"/>
      <c r="F759" s="70"/>
      <c r="G759" s="70"/>
      <c r="H759" s="70"/>
      <c r="I759" s="71"/>
      <c r="J759" s="71"/>
      <c r="K759" s="72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69"/>
      <c r="B760" s="70"/>
      <c r="C760" s="70"/>
      <c r="D760" s="70"/>
      <c r="E760" s="70"/>
      <c r="F760" s="70"/>
      <c r="G760" s="70"/>
      <c r="H760" s="70"/>
      <c r="I760" s="71"/>
      <c r="J760" s="71"/>
      <c r="K760" s="72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69"/>
      <c r="B761" s="70"/>
      <c r="C761" s="70"/>
      <c r="D761" s="70"/>
      <c r="E761" s="70"/>
      <c r="F761" s="70"/>
      <c r="G761" s="70"/>
      <c r="H761" s="70"/>
      <c r="I761" s="71"/>
      <c r="J761" s="71"/>
      <c r="K761" s="72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69"/>
      <c r="B762" s="70"/>
      <c r="C762" s="70"/>
      <c r="D762" s="70"/>
      <c r="E762" s="70"/>
      <c r="F762" s="70"/>
      <c r="G762" s="70"/>
      <c r="H762" s="70"/>
      <c r="I762" s="71"/>
      <c r="J762" s="71"/>
      <c r="K762" s="72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69"/>
      <c r="B763" s="70"/>
      <c r="C763" s="70"/>
      <c r="D763" s="70"/>
      <c r="E763" s="70"/>
      <c r="F763" s="70"/>
      <c r="G763" s="70"/>
      <c r="H763" s="70"/>
      <c r="I763" s="71"/>
      <c r="J763" s="71"/>
      <c r="K763" s="72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69"/>
      <c r="B764" s="70"/>
      <c r="C764" s="70"/>
      <c r="D764" s="70"/>
      <c r="E764" s="70"/>
      <c r="F764" s="70"/>
      <c r="G764" s="70"/>
      <c r="H764" s="70"/>
      <c r="I764" s="71"/>
      <c r="J764" s="71"/>
      <c r="K764" s="72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69"/>
      <c r="B765" s="70"/>
      <c r="C765" s="70"/>
      <c r="D765" s="70"/>
      <c r="E765" s="70"/>
      <c r="F765" s="70"/>
      <c r="G765" s="70"/>
      <c r="H765" s="70"/>
      <c r="I765" s="71"/>
      <c r="J765" s="71"/>
      <c r="K765" s="72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69"/>
      <c r="B766" s="70"/>
      <c r="C766" s="70"/>
      <c r="D766" s="70"/>
      <c r="E766" s="70"/>
      <c r="F766" s="70"/>
      <c r="G766" s="70"/>
      <c r="H766" s="70"/>
      <c r="I766" s="71"/>
      <c r="J766" s="71"/>
      <c r="K766" s="72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69"/>
      <c r="B767" s="70"/>
      <c r="C767" s="70"/>
      <c r="D767" s="70"/>
      <c r="E767" s="70"/>
      <c r="F767" s="70"/>
      <c r="G767" s="70"/>
      <c r="H767" s="70"/>
      <c r="I767" s="71"/>
      <c r="J767" s="71"/>
      <c r="K767" s="72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69"/>
      <c r="B768" s="70"/>
      <c r="C768" s="70"/>
      <c r="D768" s="70"/>
      <c r="E768" s="70"/>
      <c r="F768" s="70"/>
      <c r="G768" s="70"/>
      <c r="H768" s="70"/>
      <c r="I768" s="71"/>
      <c r="J768" s="71"/>
      <c r="K768" s="72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69"/>
      <c r="B769" s="70"/>
      <c r="C769" s="70"/>
      <c r="D769" s="70"/>
      <c r="E769" s="70"/>
      <c r="F769" s="70"/>
      <c r="G769" s="70"/>
      <c r="H769" s="70"/>
      <c r="I769" s="71"/>
      <c r="J769" s="71"/>
      <c r="K769" s="72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69"/>
      <c r="B770" s="70"/>
      <c r="C770" s="70"/>
      <c r="D770" s="70"/>
      <c r="E770" s="70"/>
      <c r="F770" s="70"/>
      <c r="G770" s="70"/>
      <c r="H770" s="70"/>
      <c r="I770" s="71"/>
      <c r="J770" s="71"/>
      <c r="K770" s="72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69"/>
      <c r="B771" s="70"/>
      <c r="C771" s="70"/>
      <c r="D771" s="70"/>
      <c r="E771" s="70"/>
      <c r="F771" s="70"/>
      <c r="G771" s="70"/>
      <c r="H771" s="70"/>
      <c r="I771" s="71"/>
      <c r="J771" s="71"/>
      <c r="K771" s="72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69"/>
      <c r="B772" s="70"/>
      <c r="C772" s="70"/>
      <c r="D772" s="70"/>
      <c r="E772" s="70"/>
      <c r="F772" s="70"/>
      <c r="G772" s="70"/>
      <c r="H772" s="70"/>
      <c r="I772" s="71"/>
      <c r="J772" s="71"/>
      <c r="K772" s="72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69"/>
      <c r="B773" s="70"/>
      <c r="C773" s="70"/>
      <c r="D773" s="70"/>
      <c r="E773" s="70"/>
      <c r="F773" s="70"/>
      <c r="G773" s="70"/>
      <c r="H773" s="70"/>
      <c r="I773" s="71"/>
      <c r="J773" s="71"/>
      <c r="K773" s="72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69"/>
      <c r="B774" s="70"/>
      <c r="C774" s="70"/>
      <c r="D774" s="70"/>
      <c r="E774" s="70"/>
      <c r="F774" s="70"/>
      <c r="G774" s="70"/>
      <c r="H774" s="70"/>
      <c r="I774" s="71"/>
      <c r="J774" s="71"/>
      <c r="K774" s="72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69"/>
      <c r="B775" s="70"/>
      <c r="C775" s="70"/>
      <c r="D775" s="70"/>
      <c r="E775" s="70"/>
      <c r="F775" s="70"/>
      <c r="G775" s="70"/>
      <c r="H775" s="70"/>
      <c r="I775" s="71"/>
      <c r="J775" s="71"/>
      <c r="K775" s="72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69"/>
      <c r="B776" s="70"/>
      <c r="C776" s="70"/>
      <c r="D776" s="70"/>
      <c r="E776" s="70"/>
      <c r="F776" s="70"/>
      <c r="G776" s="70"/>
      <c r="H776" s="70"/>
      <c r="I776" s="71"/>
      <c r="J776" s="71"/>
      <c r="K776" s="72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</sheetData>
  <mergeCells count="1">
    <mergeCell ref="A1:J1"/>
  </mergeCells>
  <printOptions/>
  <pageMargins bottom="0.25" footer="0.0" header="0.0" left="0.2" right="0.2" top="0.75"/>
  <pageSetup scale="97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3" width="21.57"/>
    <col customWidth="1" min="4" max="5" width="14.43"/>
    <col customWidth="1" min="6" max="6" width="33.14"/>
    <col customWidth="1" min="7" max="7" width="14.43"/>
    <col customWidth="1" min="8" max="8" width="25.86"/>
    <col customWidth="1" min="9" max="11" width="14.43"/>
    <col customWidth="1" min="12" max="26" width="8.71"/>
  </cols>
  <sheetData>
    <row r="1" ht="37.5" customHeight="1">
      <c r="A1" s="1" t="s">
        <v>1663</v>
      </c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73" t="s">
        <v>5</v>
      </c>
      <c r="B2" s="74" t="s">
        <v>6</v>
      </c>
      <c r="C2" s="74" t="s">
        <v>7</v>
      </c>
      <c r="D2" s="75" t="s">
        <v>8</v>
      </c>
      <c r="E2" s="74" t="s">
        <v>9</v>
      </c>
      <c r="F2" s="74" t="s">
        <v>10</v>
      </c>
      <c r="G2" s="74" t="s">
        <v>11</v>
      </c>
      <c r="H2" s="74" t="s">
        <v>12</v>
      </c>
      <c r="I2" s="74" t="s">
        <v>13</v>
      </c>
      <c r="J2" s="74" t="s">
        <v>14</v>
      </c>
      <c r="K2" s="76" t="s">
        <v>1664</v>
      </c>
      <c r="L2" s="74" t="s">
        <v>16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77" t="s">
        <v>1665</v>
      </c>
      <c r="B3" s="78" t="s">
        <v>1434</v>
      </c>
      <c r="C3" s="78" t="s">
        <v>1028</v>
      </c>
      <c r="D3" s="78" t="s">
        <v>65</v>
      </c>
      <c r="E3" s="78" t="s">
        <v>21</v>
      </c>
      <c r="F3" s="78" t="s">
        <v>1666</v>
      </c>
      <c r="G3" s="78" t="s">
        <v>85</v>
      </c>
      <c r="H3" s="78" t="s">
        <v>1667</v>
      </c>
      <c r="I3" s="79">
        <v>45444.0</v>
      </c>
      <c r="J3" s="80"/>
      <c r="K3" s="81">
        <v>46539.0</v>
      </c>
      <c r="L3" s="82">
        <v>3.0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83" t="s">
        <v>37</v>
      </c>
      <c r="B4" s="49" t="s">
        <v>1668</v>
      </c>
      <c r="C4" s="49" t="s">
        <v>1669</v>
      </c>
      <c r="D4" s="49" t="s">
        <v>430</v>
      </c>
      <c r="E4" s="49" t="s">
        <v>21</v>
      </c>
      <c r="F4" s="49" t="s">
        <v>1670</v>
      </c>
      <c r="G4" s="49">
        <v>3.0</v>
      </c>
      <c r="H4" s="49" t="s">
        <v>202</v>
      </c>
      <c r="I4" s="84">
        <v>45078.0</v>
      </c>
      <c r="J4" s="85"/>
      <c r="K4" s="86">
        <v>46174.0</v>
      </c>
      <c r="L4" s="49">
        <v>3.0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47" t="s">
        <v>37</v>
      </c>
      <c r="B5" s="48" t="s">
        <v>1671</v>
      </c>
      <c r="C5" s="48" t="s">
        <v>675</v>
      </c>
      <c r="D5" s="48" t="s">
        <v>163</v>
      </c>
      <c r="E5" s="49" t="s">
        <v>21</v>
      </c>
      <c r="F5" s="48" t="s">
        <v>1672</v>
      </c>
      <c r="G5" s="48" t="s">
        <v>85</v>
      </c>
      <c r="H5" s="48" t="s">
        <v>1673</v>
      </c>
      <c r="I5" s="84">
        <v>45444.0</v>
      </c>
      <c r="J5" s="85"/>
      <c r="K5" s="86">
        <v>46539.0</v>
      </c>
      <c r="L5" s="49">
        <v>3.0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83" t="s">
        <v>59</v>
      </c>
      <c r="B6" s="49" t="s">
        <v>1674</v>
      </c>
      <c r="C6" s="49" t="s">
        <v>611</v>
      </c>
      <c r="D6" s="49" t="s">
        <v>65</v>
      </c>
      <c r="E6" s="49" t="s">
        <v>21</v>
      </c>
      <c r="F6" s="49" t="s">
        <v>1675</v>
      </c>
      <c r="G6" s="49" t="s">
        <v>85</v>
      </c>
      <c r="H6" s="49" t="s">
        <v>1676</v>
      </c>
      <c r="I6" s="84">
        <v>45444.0</v>
      </c>
      <c r="J6" s="87">
        <v>46174.0</v>
      </c>
      <c r="K6" s="86">
        <v>47270.0</v>
      </c>
      <c r="L6" s="49">
        <v>4.0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83" t="s">
        <v>1677</v>
      </c>
      <c r="B7" s="49" t="s">
        <v>219</v>
      </c>
      <c r="C7" s="61"/>
      <c r="D7" s="61"/>
      <c r="E7" s="61"/>
      <c r="F7" s="49" t="s">
        <v>119</v>
      </c>
      <c r="G7" s="61"/>
      <c r="H7" s="61"/>
      <c r="I7" s="84">
        <v>45444.0</v>
      </c>
      <c r="J7" s="87">
        <v>46539.0</v>
      </c>
      <c r="K7" s="86">
        <v>47635.0</v>
      </c>
      <c r="L7" s="49">
        <v>4.0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83" t="s">
        <v>1678</v>
      </c>
      <c r="B8" s="49" t="s">
        <v>501</v>
      </c>
      <c r="C8" s="49" t="s">
        <v>1679</v>
      </c>
      <c r="D8" s="49" t="s">
        <v>102</v>
      </c>
      <c r="E8" s="49" t="s">
        <v>21</v>
      </c>
      <c r="F8" s="49" t="s">
        <v>1680</v>
      </c>
      <c r="G8" s="49" t="s">
        <v>41</v>
      </c>
      <c r="H8" s="49" t="s">
        <v>1681</v>
      </c>
      <c r="I8" s="84">
        <v>44713.0</v>
      </c>
      <c r="J8" s="85"/>
      <c r="K8" s="86">
        <v>45809.0</v>
      </c>
      <c r="L8" s="49">
        <v>3.0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83" t="s">
        <v>99</v>
      </c>
      <c r="B9" s="49" t="s">
        <v>1682</v>
      </c>
      <c r="C9" s="49" t="s">
        <v>1683</v>
      </c>
      <c r="D9" s="49" t="s">
        <v>102</v>
      </c>
      <c r="E9" s="49" t="s">
        <v>21</v>
      </c>
      <c r="F9" s="49" t="s">
        <v>1684</v>
      </c>
      <c r="G9" s="49" t="s">
        <v>91</v>
      </c>
      <c r="H9" s="49" t="s">
        <v>124</v>
      </c>
      <c r="I9" s="84">
        <v>43617.0</v>
      </c>
      <c r="J9" s="85"/>
      <c r="K9" s="86">
        <v>45809.0</v>
      </c>
      <c r="L9" s="49">
        <v>3.0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47" t="s">
        <v>1685</v>
      </c>
      <c r="B10" s="48" t="s">
        <v>1686</v>
      </c>
      <c r="C10" s="48" t="s">
        <v>1687</v>
      </c>
      <c r="D10" s="48" t="s">
        <v>266</v>
      </c>
      <c r="E10" s="49" t="s">
        <v>21</v>
      </c>
      <c r="F10" s="48" t="s">
        <v>1672</v>
      </c>
      <c r="G10" s="48" t="s">
        <v>41</v>
      </c>
      <c r="H10" s="48" t="s">
        <v>1673</v>
      </c>
      <c r="I10" s="84">
        <v>45444.0</v>
      </c>
      <c r="J10" s="85"/>
      <c r="K10" s="86">
        <v>46539.0</v>
      </c>
      <c r="L10" s="49">
        <v>3.0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83" t="s">
        <v>1688</v>
      </c>
      <c r="B11" s="49" t="s">
        <v>1689</v>
      </c>
      <c r="C11" s="49" t="s">
        <v>205</v>
      </c>
      <c r="D11" s="49" t="s">
        <v>137</v>
      </c>
      <c r="E11" s="49" t="s">
        <v>21</v>
      </c>
      <c r="F11" s="49" t="s">
        <v>1690</v>
      </c>
      <c r="G11" s="49" t="s">
        <v>85</v>
      </c>
      <c r="H11" s="49" t="s">
        <v>1691</v>
      </c>
      <c r="I11" s="84">
        <v>44713.0</v>
      </c>
      <c r="J11" s="85"/>
      <c r="K11" s="86">
        <v>45809.0</v>
      </c>
      <c r="L11" s="49">
        <v>3.0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83" t="s">
        <v>1692</v>
      </c>
      <c r="B12" s="49" t="s">
        <v>1693</v>
      </c>
      <c r="C12" s="49" t="s">
        <v>1694</v>
      </c>
      <c r="D12" s="49" t="s">
        <v>20</v>
      </c>
      <c r="E12" s="49" t="s">
        <v>21</v>
      </c>
      <c r="F12" s="49" t="s">
        <v>1675</v>
      </c>
      <c r="G12" s="49">
        <v>2.0</v>
      </c>
      <c r="H12" s="49" t="s">
        <v>357</v>
      </c>
      <c r="I12" s="84">
        <v>45078.0</v>
      </c>
      <c r="J12" s="85"/>
      <c r="K12" s="86">
        <v>46174.0</v>
      </c>
      <c r="L12" s="49">
        <v>3.0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83" t="s">
        <v>1695</v>
      </c>
      <c r="B13" s="49" t="s">
        <v>1696</v>
      </c>
      <c r="C13" s="49" t="s">
        <v>1432</v>
      </c>
      <c r="D13" s="49" t="s">
        <v>84</v>
      </c>
      <c r="E13" s="49" t="s">
        <v>21</v>
      </c>
      <c r="F13" s="49" t="s">
        <v>1697</v>
      </c>
      <c r="G13" s="49" t="s">
        <v>97</v>
      </c>
      <c r="H13" s="49" t="s">
        <v>98</v>
      </c>
      <c r="I13" s="84">
        <v>44713.0</v>
      </c>
      <c r="J13" s="88"/>
      <c r="K13" s="86">
        <v>45809.0</v>
      </c>
      <c r="L13" s="49">
        <v>3.0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47" t="s">
        <v>1698</v>
      </c>
      <c r="B14" s="48" t="s">
        <v>1699</v>
      </c>
      <c r="C14" s="48" t="s">
        <v>1700</v>
      </c>
      <c r="D14" s="48" t="s">
        <v>102</v>
      </c>
      <c r="E14" s="49" t="s">
        <v>21</v>
      </c>
      <c r="F14" s="48" t="s">
        <v>1701</v>
      </c>
      <c r="G14" s="48" t="s">
        <v>41</v>
      </c>
      <c r="H14" s="48" t="s">
        <v>1673</v>
      </c>
      <c r="I14" s="84">
        <v>45444.0</v>
      </c>
      <c r="J14" s="86">
        <v>46539.0</v>
      </c>
      <c r="K14" s="86">
        <v>47635.0</v>
      </c>
      <c r="L14" s="49">
        <v>4.0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83" t="s">
        <v>193</v>
      </c>
      <c r="B15" s="49" t="s">
        <v>1702</v>
      </c>
      <c r="C15" s="49" t="s">
        <v>1421</v>
      </c>
      <c r="D15" s="49" t="s">
        <v>20</v>
      </c>
      <c r="E15" s="49" t="s">
        <v>21</v>
      </c>
      <c r="F15" s="49" t="s">
        <v>1703</v>
      </c>
      <c r="G15" s="49" t="s">
        <v>97</v>
      </c>
      <c r="H15" s="49" t="s">
        <v>98</v>
      </c>
      <c r="I15" s="84">
        <v>44713.0</v>
      </c>
      <c r="J15" s="86">
        <v>45809.0</v>
      </c>
      <c r="K15" s="86">
        <v>46905.0</v>
      </c>
      <c r="L15" s="49">
        <v>4.0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47" t="s">
        <v>1704</v>
      </c>
      <c r="B16" s="48" t="s">
        <v>1705</v>
      </c>
      <c r="C16" s="48" t="s">
        <v>1706</v>
      </c>
      <c r="D16" s="48" t="s">
        <v>102</v>
      </c>
      <c r="E16" s="49" t="s">
        <v>21</v>
      </c>
      <c r="F16" s="48" t="s">
        <v>1672</v>
      </c>
      <c r="G16" s="48" t="s">
        <v>79</v>
      </c>
      <c r="H16" s="48" t="s">
        <v>1673</v>
      </c>
      <c r="I16" s="84">
        <v>45444.0</v>
      </c>
      <c r="J16" s="89"/>
      <c r="K16" s="86">
        <v>46539.0</v>
      </c>
      <c r="L16" s="49">
        <v>3.0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83" t="s">
        <v>1707</v>
      </c>
      <c r="B17" s="49" t="s">
        <v>1708</v>
      </c>
      <c r="C17" s="49" t="s">
        <v>1709</v>
      </c>
      <c r="D17" s="49" t="s">
        <v>128</v>
      </c>
      <c r="E17" s="49" t="s">
        <v>21</v>
      </c>
      <c r="F17" s="49" t="s">
        <v>119</v>
      </c>
      <c r="G17" s="61"/>
      <c r="H17" s="61"/>
      <c r="I17" s="84">
        <v>45444.0</v>
      </c>
      <c r="J17" s="86">
        <v>46539.0</v>
      </c>
      <c r="K17" s="86">
        <v>47635.0</v>
      </c>
      <c r="L17" s="49">
        <v>4.0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83" t="s">
        <v>1710</v>
      </c>
      <c r="B18" s="49" t="s">
        <v>1693</v>
      </c>
      <c r="C18" s="49" t="s">
        <v>372</v>
      </c>
      <c r="D18" s="49" t="s">
        <v>71</v>
      </c>
      <c r="E18" s="49" t="s">
        <v>21</v>
      </c>
      <c r="F18" s="49" t="s">
        <v>1670</v>
      </c>
      <c r="G18" s="49">
        <v>3.0</v>
      </c>
      <c r="H18" s="49" t="s">
        <v>244</v>
      </c>
      <c r="I18" s="84">
        <v>45078.0</v>
      </c>
      <c r="J18" s="88"/>
      <c r="K18" s="86">
        <v>46174.0</v>
      </c>
      <c r="L18" s="49">
        <v>3.0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83" t="s">
        <v>1711</v>
      </c>
      <c r="B19" s="49" t="s">
        <v>1712</v>
      </c>
      <c r="C19" s="49" t="s">
        <v>1713</v>
      </c>
      <c r="D19" s="49" t="s">
        <v>137</v>
      </c>
      <c r="E19" s="49" t="s">
        <v>21</v>
      </c>
      <c r="F19" s="49" t="s">
        <v>1675</v>
      </c>
      <c r="G19" s="49" t="s">
        <v>79</v>
      </c>
      <c r="H19" s="49" t="s">
        <v>1714</v>
      </c>
      <c r="I19" s="84">
        <v>45444.0</v>
      </c>
      <c r="J19" s="88"/>
      <c r="K19" s="86">
        <v>46539.0</v>
      </c>
      <c r="L19" s="49">
        <v>3.0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47" t="s">
        <v>1715</v>
      </c>
      <c r="B20" s="48" t="s">
        <v>1716</v>
      </c>
      <c r="C20" s="48" t="s">
        <v>1717</v>
      </c>
      <c r="D20" s="48" t="s">
        <v>27</v>
      </c>
      <c r="E20" s="48" t="s">
        <v>21</v>
      </c>
      <c r="F20" s="48" t="s">
        <v>1675</v>
      </c>
      <c r="G20" s="48" t="s">
        <v>41</v>
      </c>
      <c r="H20" s="48" t="s">
        <v>1718</v>
      </c>
      <c r="I20" s="84">
        <v>45444.0</v>
      </c>
      <c r="J20" s="89"/>
      <c r="K20" s="86">
        <v>46539.0</v>
      </c>
      <c r="L20" s="49">
        <v>3.0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83" t="s">
        <v>1719</v>
      </c>
      <c r="B21" s="49" t="s">
        <v>1720</v>
      </c>
      <c r="C21" s="49" t="s">
        <v>640</v>
      </c>
      <c r="D21" s="49" t="s">
        <v>266</v>
      </c>
      <c r="E21" s="49" t="s">
        <v>21</v>
      </c>
      <c r="F21" s="49" t="s">
        <v>1721</v>
      </c>
      <c r="G21" s="49">
        <v>4.0</v>
      </c>
      <c r="H21" s="49" t="s">
        <v>48</v>
      </c>
      <c r="I21" s="84">
        <v>45078.0</v>
      </c>
      <c r="J21" s="88"/>
      <c r="K21" s="86">
        <v>46174.0</v>
      </c>
      <c r="L21" s="49">
        <v>3.0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47" t="s">
        <v>1722</v>
      </c>
      <c r="B22" s="48" t="s">
        <v>1723</v>
      </c>
      <c r="C22" s="48" t="s">
        <v>1360</v>
      </c>
      <c r="D22" s="48" t="s">
        <v>192</v>
      </c>
      <c r="E22" s="49" t="s">
        <v>21</v>
      </c>
      <c r="F22" s="48" t="s">
        <v>1724</v>
      </c>
      <c r="G22" s="48" t="s">
        <v>41</v>
      </c>
      <c r="H22" s="48" t="s">
        <v>1673</v>
      </c>
      <c r="I22" s="84">
        <v>45444.0</v>
      </c>
      <c r="J22" s="88"/>
      <c r="K22" s="86">
        <v>46539.0</v>
      </c>
      <c r="L22" s="49">
        <v>3.0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83" t="s">
        <v>1725</v>
      </c>
      <c r="B23" s="49" t="s">
        <v>1726</v>
      </c>
      <c r="C23" s="49" t="s">
        <v>1727</v>
      </c>
      <c r="D23" s="49" t="s">
        <v>46</v>
      </c>
      <c r="E23" s="49" t="s">
        <v>21</v>
      </c>
      <c r="F23" s="49" t="s">
        <v>1701</v>
      </c>
      <c r="G23" s="49" t="s">
        <v>79</v>
      </c>
      <c r="H23" s="49" t="s">
        <v>1673</v>
      </c>
      <c r="I23" s="84">
        <v>45444.0</v>
      </c>
      <c r="J23" s="86">
        <v>46539.0</v>
      </c>
      <c r="K23" s="86">
        <v>47635.0</v>
      </c>
      <c r="L23" s="49">
        <v>4.0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83" t="s">
        <v>1728</v>
      </c>
      <c r="B24" s="49" t="s">
        <v>1729</v>
      </c>
      <c r="C24" s="49" t="s">
        <v>1730</v>
      </c>
      <c r="D24" s="49" t="s">
        <v>20</v>
      </c>
      <c r="E24" s="49" t="s">
        <v>21</v>
      </c>
      <c r="F24" s="49" t="s">
        <v>1690</v>
      </c>
      <c r="G24" s="49" t="s">
        <v>85</v>
      </c>
      <c r="H24" s="49" t="s">
        <v>1731</v>
      </c>
      <c r="I24" s="84">
        <v>44713.0</v>
      </c>
      <c r="J24" s="88"/>
      <c r="K24" s="86">
        <v>45809.0</v>
      </c>
      <c r="L24" s="49">
        <v>3.0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83" t="s">
        <v>1732</v>
      </c>
      <c r="B25" s="49" t="s">
        <v>1733</v>
      </c>
      <c r="C25" s="49" t="s">
        <v>1734</v>
      </c>
      <c r="D25" s="49" t="s">
        <v>71</v>
      </c>
      <c r="E25" s="49" t="s">
        <v>21</v>
      </c>
      <c r="F25" s="49" t="s">
        <v>1735</v>
      </c>
      <c r="G25" s="49" t="s">
        <v>41</v>
      </c>
      <c r="H25" s="49" t="s">
        <v>98</v>
      </c>
      <c r="I25" s="84">
        <v>45444.0</v>
      </c>
      <c r="J25" s="89"/>
      <c r="K25" s="86">
        <v>46539.0</v>
      </c>
      <c r="L25" s="49">
        <v>3.0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83" t="s">
        <v>286</v>
      </c>
      <c r="B26" s="49" t="s">
        <v>1736</v>
      </c>
      <c r="C26" s="49" t="s">
        <v>1737</v>
      </c>
      <c r="D26" s="49" t="s">
        <v>46</v>
      </c>
      <c r="E26" s="49" t="s">
        <v>21</v>
      </c>
      <c r="F26" s="49" t="s">
        <v>1738</v>
      </c>
      <c r="G26" s="49" t="s">
        <v>85</v>
      </c>
      <c r="H26" s="49" t="s">
        <v>98</v>
      </c>
      <c r="I26" s="84">
        <v>44713.0</v>
      </c>
      <c r="J26" s="86">
        <v>45809.0</v>
      </c>
      <c r="K26" s="86">
        <v>46905.0</v>
      </c>
      <c r="L26" s="49">
        <v>4.0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83" t="s">
        <v>1739</v>
      </c>
      <c r="B27" s="49" t="s">
        <v>1740</v>
      </c>
      <c r="C27" s="49" t="s">
        <v>594</v>
      </c>
      <c r="D27" s="49" t="s">
        <v>595</v>
      </c>
      <c r="E27" s="49" t="s">
        <v>21</v>
      </c>
      <c r="F27" s="49" t="s">
        <v>1724</v>
      </c>
      <c r="G27" s="49">
        <v>3.0</v>
      </c>
      <c r="H27" s="49" t="s">
        <v>48</v>
      </c>
      <c r="I27" s="84">
        <v>45078.0</v>
      </c>
      <c r="J27" s="88"/>
      <c r="K27" s="86">
        <v>46174.0</v>
      </c>
      <c r="L27" s="49">
        <v>3.0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83" t="s">
        <v>1741</v>
      </c>
      <c r="B28" s="49" t="s">
        <v>1742</v>
      </c>
      <c r="C28" s="49" t="s">
        <v>781</v>
      </c>
      <c r="D28" s="49" t="s">
        <v>57</v>
      </c>
      <c r="E28" s="49" t="s">
        <v>21</v>
      </c>
      <c r="F28" s="49" t="s">
        <v>1690</v>
      </c>
      <c r="G28" s="49" t="s">
        <v>85</v>
      </c>
      <c r="H28" s="49" t="s">
        <v>1743</v>
      </c>
      <c r="I28" s="84">
        <v>44713.0</v>
      </c>
      <c r="J28" s="88"/>
      <c r="K28" s="86">
        <v>45809.0</v>
      </c>
      <c r="L28" s="49">
        <v>3.0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83" t="s">
        <v>1744</v>
      </c>
      <c r="B29" s="49" t="s">
        <v>1745</v>
      </c>
      <c r="C29" s="49" t="s">
        <v>317</v>
      </c>
      <c r="D29" s="49" t="s">
        <v>266</v>
      </c>
      <c r="E29" s="49" t="s">
        <v>21</v>
      </c>
      <c r="F29" s="49" t="s">
        <v>1680</v>
      </c>
      <c r="G29" s="49" t="s">
        <v>85</v>
      </c>
      <c r="H29" s="49" t="s">
        <v>1681</v>
      </c>
      <c r="I29" s="84">
        <v>44713.0</v>
      </c>
      <c r="J29" s="88"/>
      <c r="K29" s="86">
        <v>45809.0</v>
      </c>
      <c r="L29" s="49">
        <v>3.0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47" t="s">
        <v>334</v>
      </c>
      <c r="B30" s="48" t="s">
        <v>1689</v>
      </c>
      <c r="C30" s="48" t="s">
        <v>1746</v>
      </c>
      <c r="D30" s="48" t="s">
        <v>71</v>
      </c>
      <c r="E30" s="48" t="s">
        <v>21</v>
      </c>
      <c r="F30" s="48" t="s">
        <v>1666</v>
      </c>
      <c r="G30" s="48" t="s">
        <v>85</v>
      </c>
      <c r="H30" s="48" t="s">
        <v>1718</v>
      </c>
      <c r="I30" s="84">
        <v>45444.0</v>
      </c>
      <c r="J30" s="88"/>
      <c r="K30" s="86">
        <v>46539.0</v>
      </c>
      <c r="L30" s="49">
        <v>3.0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83" t="s">
        <v>1747</v>
      </c>
      <c r="B31" s="49" t="s">
        <v>1696</v>
      </c>
      <c r="C31" s="49" t="s">
        <v>1748</v>
      </c>
      <c r="D31" s="49" t="s">
        <v>163</v>
      </c>
      <c r="E31" s="49" t="s">
        <v>21</v>
      </c>
      <c r="F31" s="49" t="s">
        <v>1724</v>
      </c>
      <c r="G31" s="49">
        <v>4.0</v>
      </c>
      <c r="H31" s="49" t="s">
        <v>48</v>
      </c>
      <c r="I31" s="84">
        <v>45078.0</v>
      </c>
      <c r="J31" s="89"/>
      <c r="K31" s="86">
        <v>46174.0</v>
      </c>
      <c r="L31" s="49">
        <v>3.0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83" t="s">
        <v>1749</v>
      </c>
      <c r="B32" s="49" t="s">
        <v>1750</v>
      </c>
      <c r="C32" s="49" t="s">
        <v>1751</v>
      </c>
      <c r="D32" s="49" t="s">
        <v>46</v>
      </c>
      <c r="E32" s="49" t="s">
        <v>21</v>
      </c>
      <c r="F32" s="49" t="s">
        <v>1752</v>
      </c>
      <c r="G32" s="49" t="s">
        <v>97</v>
      </c>
      <c r="H32" s="49" t="s">
        <v>1673</v>
      </c>
      <c r="I32" s="84">
        <v>45444.0</v>
      </c>
      <c r="J32" s="86">
        <v>46539.0</v>
      </c>
      <c r="K32" s="86">
        <v>47635.0</v>
      </c>
      <c r="L32" s="49">
        <v>4.0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47" t="s">
        <v>1753</v>
      </c>
      <c r="B33" s="48" t="s">
        <v>1754</v>
      </c>
      <c r="C33" s="48" t="s">
        <v>1755</v>
      </c>
      <c r="D33" s="48" t="s">
        <v>46</v>
      </c>
      <c r="E33" s="49" t="s">
        <v>21</v>
      </c>
      <c r="F33" s="48" t="s">
        <v>1756</v>
      </c>
      <c r="G33" s="48" t="s">
        <v>85</v>
      </c>
      <c r="H33" s="48" t="s">
        <v>1673</v>
      </c>
      <c r="I33" s="84">
        <v>45444.0</v>
      </c>
      <c r="J33" s="88"/>
      <c r="K33" s="86">
        <v>46539.0</v>
      </c>
      <c r="L33" s="49">
        <v>3.0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83" t="s">
        <v>1757</v>
      </c>
      <c r="B34" s="49" t="s">
        <v>1758</v>
      </c>
      <c r="C34" s="61"/>
      <c r="D34" s="61"/>
      <c r="E34" s="49" t="s">
        <v>21</v>
      </c>
      <c r="F34" s="61"/>
      <c r="G34" s="61"/>
      <c r="H34" s="49" t="s">
        <v>188</v>
      </c>
      <c r="I34" s="84">
        <v>44348.0</v>
      </c>
      <c r="J34" s="88"/>
      <c r="K34" s="86">
        <v>46539.0</v>
      </c>
      <c r="L34" s="49">
        <v>3.0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83" t="s">
        <v>1759</v>
      </c>
      <c r="B35" s="49" t="s">
        <v>1760</v>
      </c>
      <c r="C35" s="49" t="s">
        <v>1454</v>
      </c>
      <c r="D35" s="49" t="s">
        <v>128</v>
      </c>
      <c r="E35" s="49" t="s">
        <v>21</v>
      </c>
      <c r="F35" s="49" t="s">
        <v>1690</v>
      </c>
      <c r="G35" s="49" t="s">
        <v>41</v>
      </c>
      <c r="H35" s="49" t="s">
        <v>1761</v>
      </c>
      <c r="I35" s="84">
        <v>44713.0</v>
      </c>
      <c r="J35" s="89"/>
      <c r="K35" s="86">
        <v>45809.0</v>
      </c>
      <c r="L35" s="49">
        <v>3.0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83" t="s">
        <v>1762</v>
      </c>
      <c r="B36" s="49" t="s">
        <v>1763</v>
      </c>
      <c r="C36" s="49" t="s">
        <v>1764</v>
      </c>
      <c r="D36" s="49" t="s">
        <v>46</v>
      </c>
      <c r="E36" s="49" t="s">
        <v>21</v>
      </c>
      <c r="F36" s="49" t="s">
        <v>1752</v>
      </c>
      <c r="G36" s="49" t="s">
        <v>97</v>
      </c>
      <c r="H36" s="49" t="s">
        <v>1673</v>
      </c>
      <c r="I36" s="84">
        <v>45444.0</v>
      </c>
      <c r="J36" s="86">
        <v>46539.0</v>
      </c>
      <c r="K36" s="86">
        <v>47635.0</v>
      </c>
      <c r="L36" s="49">
        <v>4.0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47" t="s">
        <v>1765</v>
      </c>
      <c r="B37" s="48" t="s">
        <v>1766</v>
      </c>
      <c r="C37" s="48" t="s">
        <v>611</v>
      </c>
      <c r="D37" s="48" t="s">
        <v>65</v>
      </c>
      <c r="E37" s="48" t="s">
        <v>21</v>
      </c>
      <c r="F37" s="48" t="s">
        <v>1675</v>
      </c>
      <c r="G37" s="48" t="s">
        <v>85</v>
      </c>
      <c r="H37" s="48" t="s">
        <v>1667</v>
      </c>
      <c r="I37" s="84">
        <v>45444.0</v>
      </c>
      <c r="J37" s="88"/>
      <c r="K37" s="86">
        <v>46539.0</v>
      </c>
      <c r="L37" s="49">
        <v>3.0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83" t="s">
        <v>1101</v>
      </c>
      <c r="B38" s="49" t="s">
        <v>1767</v>
      </c>
      <c r="C38" s="49" t="s">
        <v>1768</v>
      </c>
      <c r="D38" s="49" t="s">
        <v>27</v>
      </c>
      <c r="E38" s="49" t="s">
        <v>21</v>
      </c>
      <c r="F38" s="49" t="s">
        <v>1680</v>
      </c>
      <c r="G38" s="49" t="s">
        <v>41</v>
      </c>
      <c r="H38" s="49" t="s">
        <v>1691</v>
      </c>
      <c r="I38" s="84">
        <v>43617.0</v>
      </c>
      <c r="J38" s="88"/>
      <c r="K38" s="86">
        <v>45809.0</v>
      </c>
      <c r="L38" s="49">
        <v>3.0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83" t="s">
        <v>1769</v>
      </c>
      <c r="B39" s="49" t="s">
        <v>1770</v>
      </c>
      <c r="C39" s="49" t="s">
        <v>1771</v>
      </c>
      <c r="D39" s="49" t="s">
        <v>176</v>
      </c>
      <c r="E39" s="49" t="s">
        <v>177</v>
      </c>
      <c r="F39" s="49" t="s">
        <v>1772</v>
      </c>
      <c r="G39" s="49" t="s">
        <v>457</v>
      </c>
      <c r="H39" s="49" t="s">
        <v>36</v>
      </c>
      <c r="I39" s="84">
        <v>45078.0</v>
      </c>
      <c r="J39" s="86">
        <v>46539.0</v>
      </c>
      <c r="K39" s="86">
        <v>47635.0</v>
      </c>
      <c r="L39" s="49">
        <v>4.0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83" t="s">
        <v>1769</v>
      </c>
      <c r="B40" s="49" t="s">
        <v>1773</v>
      </c>
      <c r="C40" s="49" t="s">
        <v>1774</v>
      </c>
      <c r="D40" s="49" t="s">
        <v>27</v>
      </c>
      <c r="E40" s="49" t="s">
        <v>21</v>
      </c>
      <c r="F40" s="49" t="s">
        <v>1670</v>
      </c>
      <c r="G40" s="49">
        <v>1.0</v>
      </c>
      <c r="H40" s="49" t="s">
        <v>206</v>
      </c>
      <c r="I40" s="84">
        <v>45078.0</v>
      </c>
      <c r="J40" s="89"/>
      <c r="K40" s="86">
        <v>46174.0</v>
      </c>
      <c r="L40" s="49">
        <v>3.0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47" t="s">
        <v>1775</v>
      </c>
      <c r="B41" s="48" t="s">
        <v>1763</v>
      </c>
      <c r="C41" s="48" t="s">
        <v>1776</v>
      </c>
      <c r="D41" s="48" t="s">
        <v>430</v>
      </c>
      <c r="E41" s="48" t="s">
        <v>21</v>
      </c>
      <c r="F41" s="48" t="s">
        <v>1675</v>
      </c>
      <c r="G41" s="48" t="s">
        <v>79</v>
      </c>
      <c r="H41" s="48" t="s">
        <v>1777</v>
      </c>
      <c r="I41" s="84">
        <v>45444.0</v>
      </c>
      <c r="J41" s="89"/>
      <c r="K41" s="86">
        <v>46539.0</v>
      </c>
      <c r="L41" s="49">
        <v>3.0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83" t="s">
        <v>408</v>
      </c>
      <c r="B42" s="49" t="s">
        <v>1758</v>
      </c>
      <c r="C42" s="49" t="s">
        <v>405</v>
      </c>
      <c r="D42" s="49" t="s">
        <v>46</v>
      </c>
      <c r="E42" s="49" t="s">
        <v>21</v>
      </c>
      <c r="F42" s="49" t="s">
        <v>1738</v>
      </c>
      <c r="G42" s="49" t="s">
        <v>97</v>
      </c>
      <c r="H42" s="49" t="s">
        <v>98</v>
      </c>
      <c r="I42" s="84">
        <v>44713.0</v>
      </c>
      <c r="J42" s="86">
        <v>45809.0</v>
      </c>
      <c r="K42" s="86">
        <v>46905.0</v>
      </c>
      <c r="L42" s="49">
        <v>4.0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83" t="s">
        <v>1778</v>
      </c>
      <c r="B43" s="49" t="s">
        <v>1779</v>
      </c>
      <c r="C43" s="49" t="s">
        <v>1780</v>
      </c>
      <c r="D43" s="49" t="s">
        <v>65</v>
      </c>
      <c r="E43" s="49" t="s">
        <v>21</v>
      </c>
      <c r="F43" s="49" t="s">
        <v>1781</v>
      </c>
      <c r="G43" s="49" t="s">
        <v>91</v>
      </c>
      <c r="H43" s="49" t="s">
        <v>1782</v>
      </c>
      <c r="I43" s="84">
        <v>43983.0</v>
      </c>
      <c r="J43" s="89"/>
      <c r="K43" s="86">
        <v>45809.0</v>
      </c>
      <c r="L43" s="49">
        <v>3.0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83" t="s">
        <v>1783</v>
      </c>
      <c r="B44" s="49" t="s">
        <v>1784</v>
      </c>
      <c r="C44" s="49" t="s">
        <v>1785</v>
      </c>
      <c r="D44" s="49" t="s">
        <v>311</v>
      </c>
      <c r="E44" s="49" t="s">
        <v>21</v>
      </c>
      <c r="F44" s="49" t="s">
        <v>1786</v>
      </c>
      <c r="G44" s="49">
        <v>2.0</v>
      </c>
      <c r="H44" s="49" t="s">
        <v>48</v>
      </c>
      <c r="I44" s="84">
        <v>45078.0</v>
      </c>
      <c r="J44" s="86">
        <v>46174.0</v>
      </c>
      <c r="K44" s="86">
        <v>47270.0</v>
      </c>
      <c r="L44" s="49">
        <v>4.0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83" t="s">
        <v>1787</v>
      </c>
      <c r="B45" s="49" t="s">
        <v>1788</v>
      </c>
      <c r="C45" s="49" t="s">
        <v>1789</v>
      </c>
      <c r="D45" s="49" t="s">
        <v>20</v>
      </c>
      <c r="E45" s="49" t="s">
        <v>21</v>
      </c>
      <c r="F45" s="49" t="s">
        <v>1670</v>
      </c>
      <c r="G45" s="49">
        <v>2.0</v>
      </c>
      <c r="H45" s="49" t="s">
        <v>357</v>
      </c>
      <c r="I45" s="84">
        <v>45078.0</v>
      </c>
      <c r="J45" s="89"/>
      <c r="K45" s="86">
        <v>46174.0</v>
      </c>
      <c r="L45" s="49">
        <v>3.0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47" t="s">
        <v>1787</v>
      </c>
      <c r="B46" s="48" t="s">
        <v>1790</v>
      </c>
      <c r="C46" s="48" t="s">
        <v>205</v>
      </c>
      <c r="D46" s="48" t="s">
        <v>137</v>
      </c>
      <c r="E46" s="48" t="s">
        <v>21</v>
      </c>
      <c r="F46" s="48" t="s">
        <v>1666</v>
      </c>
      <c r="G46" s="48" t="s">
        <v>79</v>
      </c>
      <c r="H46" s="48" t="s">
        <v>1791</v>
      </c>
      <c r="I46" s="84">
        <v>45444.0</v>
      </c>
      <c r="J46" s="88"/>
      <c r="K46" s="86">
        <v>46539.0</v>
      </c>
      <c r="L46" s="49">
        <v>3.0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47" t="s">
        <v>1792</v>
      </c>
      <c r="B47" s="48" t="s">
        <v>1793</v>
      </c>
      <c r="C47" s="48" t="s">
        <v>1794</v>
      </c>
      <c r="D47" s="48" t="s">
        <v>27</v>
      </c>
      <c r="E47" s="48" t="s">
        <v>21</v>
      </c>
      <c r="F47" s="48" t="s">
        <v>1675</v>
      </c>
      <c r="G47" s="48" t="s">
        <v>1795</v>
      </c>
      <c r="H47" s="48" t="s">
        <v>1718</v>
      </c>
      <c r="I47" s="84">
        <v>45444.0</v>
      </c>
      <c r="J47" s="89"/>
      <c r="K47" s="86">
        <v>46539.0</v>
      </c>
      <c r="L47" s="49">
        <v>3.0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47" t="s">
        <v>1796</v>
      </c>
      <c r="B48" s="48" t="s">
        <v>1797</v>
      </c>
      <c r="C48" s="48" t="s">
        <v>390</v>
      </c>
      <c r="D48" s="48" t="s">
        <v>102</v>
      </c>
      <c r="E48" s="49" t="s">
        <v>21</v>
      </c>
      <c r="F48" s="48" t="s">
        <v>1724</v>
      </c>
      <c r="G48" s="48" t="s">
        <v>79</v>
      </c>
      <c r="H48" s="48" t="s">
        <v>1673</v>
      </c>
      <c r="I48" s="84">
        <v>45444.0</v>
      </c>
      <c r="J48" s="89"/>
      <c r="K48" s="86">
        <v>46539.0</v>
      </c>
      <c r="L48" s="49">
        <v>3.0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83" t="s">
        <v>1798</v>
      </c>
      <c r="B49" s="49" t="s">
        <v>1799</v>
      </c>
      <c r="C49" s="49" t="s">
        <v>1800</v>
      </c>
      <c r="D49" s="49" t="s">
        <v>46</v>
      </c>
      <c r="E49" s="49" t="s">
        <v>21</v>
      </c>
      <c r="F49" s="49" t="s">
        <v>1801</v>
      </c>
      <c r="G49" s="49" t="s">
        <v>85</v>
      </c>
      <c r="H49" s="49" t="s">
        <v>98</v>
      </c>
      <c r="I49" s="84">
        <v>44713.0</v>
      </c>
      <c r="J49" s="89"/>
      <c r="K49" s="86">
        <v>45809.0</v>
      </c>
      <c r="L49" s="49">
        <v>3.0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47" t="s">
        <v>926</v>
      </c>
      <c r="B50" s="48" t="s">
        <v>1763</v>
      </c>
      <c r="C50" s="48" t="s">
        <v>1802</v>
      </c>
      <c r="D50" s="48" t="s">
        <v>146</v>
      </c>
      <c r="E50" s="48" t="s">
        <v>21</v>
      </c>
      <c r="F50" s="48" t="s">
        <v>1675</v>
      </c>
      <c r="G50" s="48" t="s">
        <v>85</v>
      </c>
      <c r="H50" s="48" t="s">
        <v>1777</v>
      </c>
      <c r="I50" s="84">
        <v>45444.0</v>
      </c>
      <c r="J50" s="88"/>
      <c r="K50" s="86">
        <v>46539.0</v>
      </c>
      <c r="L50" s="49">
        <v>3.0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83" t="s">
        <v>1803</v>
      </c>
      <c r="B51" s="49" t="s">
        <v>1804</v>
      </c>
      <c r="C51" s="49" t="s">
        <v>1510</v>
      </c>
      <c r="D51" s="49" t="s">
        <v>128</v>
      </c>
      <c r="E51" s="49" t="s">
        <v>21</v>
      </c>
      <c r="F51" s="49" t="s">
        <v>1680</v>
      </c>
      <c r="G51" s="49" t="s">
        <v>41</v>
      </c>
      <c r="H51" s="49" t="s">
        <v>1761</v>
      </c>
      <c r="I51" s="84">
        <v>44713.0</v>
      </c>
      <c r="J51" s="88"/>
      <c r="K51" s="86">
        <v>45809.0</v>
      </c>
      <c r="L51" s="49">
        <v>3.0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83" t="s">
        <v>461</v>
      </c>
      <c r="B52" s="49" t="s">
        <v>1805</v>
      </c>
      <c r="C52" s="49" t="s">
        <v>466</v>
      </c>
      <c r="D52" s="49" t="s">
        <v>152</v>
      </c>
      <c r="E52" s="49" t="s">
        <v>21</v>
      </c>
      <c r="F52" s="49" t="s">
        <v>1806</v>
      </c>
      <c r="G52" s="49" t="s">
        <v>79</v>
      </c>
      <c r="H52" s="49" t="s">
        <v>1676</v>
      </c>
      <c r="I52" s="84">
        <v>45444.0</v>
      </c>
      <c r="J52" s="86">
        <v>45809.0</v>
      </c>
      <c r="K52" s="86">
        <v>46905.0</v>
      </c>
      <c r="L52" s="49">
        <v>4.0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83" t="s">
        <v>1807</v>
      </c>
      <c r="B53" s="49" t="s">
        <v>1808</v>
      </c>
      <c r="C53" s="49" t="s">
        <v>1809</v>
      </c>
      <c r="D53" s="49" t="s">
        <v>266</v>
      </c>
      <c r="E53" s="49" t="s">
        <v>21</v>
      </c>
      <c r="F53" s="49" t="s">
        <v>1670</v>
      </c>
      <c r="G53" s="49">
        <v>2.0</v>
      </c>
      <c r="H53" s="49" t="s">
        <v>357</v>
      </c>
      <c r="I53" s="84">
        <v>45078.0</v>
      </c>
      <c r="J53" s="88"/>
      <c r="K53" s="86">
        <v>46174.0</v>
      </c>
      <c r="L53" s="49">
        <v>3.0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83" t="s">
        <v>1810</v>
      </c>
      <c r="B54" s="49" t="s">
        <v>1811</v>
      </c>
      <c r="C54" s="49" t="s">
        <v>1812</v>
      </c>
      <c r="D54" s="49" t="s">
        <v>102</v>
      </c>
      <c r="E54" s="49" t="s">
        <v>21</v>
      </c>
      <c r="F54" s="49" t="s">
        <v>1680</v>
      </c>
      <c r="G54" s="49" t="s">
        <v>85</v>
      </c>
      <c r="H54" s="49" t="s">
        <v>98</v>
      </c>
      <c r="I54" s="84">
        <v>44713.0</v>
      </c>
      <c r="J54" s="88"/>
      <c r="K54" s="86">
        <v>45809.0</v>
      </c>
      <c r="L54" s="49">
        <v>3.0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83" t="s">
        <v>1813</v>
      </c>
      <c r="B55" s="49" t="s">
        <v>1814</v>
      </c>
      <c r="C55" s="49" t="s">
        <v>205</v>
      </c>
      <c r="D55" s="49" t="s">
        <v>137</v>
      </c>
      <c r="E55" s="49" t="s">
        <v>21</v>
      </c>
      <c r="F55" s="49" t="s">
        <v>1690</v>
      </c>
      <c r="G55" s="49" t="s">
        <v>41</v>
      </c>
      <c r="H55" s="49" t="s">
        <v>1714</v>
      </c>
      <c r="I55" s="84">
        <v>45444.0</v>
      </c>
      <c r="J55" s="88"/>
      <c r="K55" s="86">
        <v>46539.0</v>
      </c>
      <c r="L55" s="49">
        <v>3.0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47" t="s">
        <v>1815</v>
      </c>
      <c r="B56" s="48" t="s">
        <v>1816</v>
      </c>
      <c r="C56" s="48" t="s">
        <v>1817</v>
      </c>
      <c r="D56" s="48" t="s">
        <v>71</v>
      </c>
      <c r="E56" s="48" t="s">
        <v>21</v>
      </c>
      <c r="F56" s="48" t="s">
        <v>1675</v>
      </c>
      <c r="G56" s="48" t="s">
        <v>79</v>
      </c>
      <c r="H56" s="48" t="s">
        <v>1718</v>
      </c>
      <c r="I56" s="84">
        <v>45444.0</v>
      </c>
      <c r="J56" s="89"/>
      <c r="K56" s="86">
        <v>46539.0</v>
      </c>
      <c r="L56" s="49">
        <v>3.0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47" t="s">
        <v>1818</v>
      </c>
      <c r="B57" s="48" t="s">
        <v>1819</v>
      </c>
      <c r="C57" s="48" t="s">
        <v>1033</v>
      </c>
      <c r="D57" s="48" t="s">
        <v>20</v>
      </c>
      <c r="E57" s="48" t="s">
        <v>21</v>
      </c>
      <c r="F57" s="48" t="s">
        <v>1675</v>
      </c>
      <c r="G57" s="48" t="s">
        <v>85</v>
      </c>
      <c r="H57" s="48" t="s">
        <v>1820</v>
      </c>
      <c r="I57" s="84">
        <v>45444.0</v>
      </c>
      <c r="J57" s="88"/>
      <c r="K57" s="86">
        <v>46539.0</v>
      </c>
      <c r="L57" s="49">
        <v>3.0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47" t="s">
        <v>609</v>
      </c>
      <c r="B58" s="48" t="s">
        <v>1198</v>
      </c>
      <c r="C58" s="48" t="s">
        <v>1432</v>
      </c>
      <c r="D58" s="48" t="s">
        <v>71</v>
      </c>
      <c r="E58" s="48" t="s">
        <v>21</v>
      </c>
      <c r="F58" s="48" t="s">
        <v>1666</v>
      </c>
      <c r="G58" s="48" t="s">
        <v>41</v>
      </c>
      <c r="H58" s="48" t="s">
        <v>1718</v>
      </c>
      <c r="I58" s="84">
        <v>45444.0</v>
      </c>
      <c r="J58" s="89"/>
      <c r="K58" s="86">
        <v>46539.0</v>
      </c>
      <c r="L58" s="49">
        <v>3.0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83" t="s">
        <v>1821</v>
      </c>
      <c r="B59" s="49" t="s">
        <v>1822</v>
      </c>
      <c r="C59" s="49" t="s">
        <v>1746</v>
      </c>
      <c r="D59" s="49" t="s">
        <v>71</v>
      </c>
      <c r="E59" s="49" t="s">
        <v>21</v>
      </c>
      <c r="F59" s="49" t="s">
        <v>1690</v>
      </c>
      <c r="G59" s="49" t="s">
        <v>41</v>
      </c>
      <c r="H59" s="49" t="s">
        <v>1791</v>
      </c>
      <c r="I59" s="84">
        <v>45444.0</v>
      </c>
      <c r="J59" s="89"/>
      <c r="K59" s="86">
        <v>46539.0</v>
      </c>
      <c r="L59" s="49">
        <v>3.0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83" t="s">
        <v>1823</v>
      </c>
      <c r="B60" s="49" t="s">
        <v>1824</v>
      </c>
      <c r="C60" s="49" t="s">
        <v>61</v>
      </c>
      <c r="D60" s="49" t="s">
        <v>27</v>
      </c>
      <c r="E60" s="49" t="s">
        <v>21</v>
      </c>
      <c r="F60" s="49" t="s">
        <v>1675</v>
      </c>
      <c r="G60" s="49" t="s">
        <v>85</v>
      </c>
      <c r="H60" s="49" t="s">
        <v>1714</v>
      </c>
      <c r="I60" s="84">
        <v>45444.0</v>
      </c>
      <c r="J60" s="89"/>
      <c r="K60" s="86">
        <v>46539.0</v>
      </c>
      <c r="L60" s="49">
        <v>3.0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83" t="s">
        <v>1825</v>
      </c>
      <c r="B61" s="49" t="s">
        <v>1826</v>
      </c>
      <c r="C61" s="61"/>
      <c r="D61" s="61"/>
      <c r="E61" s="49" t="s">
        <v>21</v>
      </c>
      <c r="F61" s="49" t="s">
        <v>119</v>
      </c>
      <c r="G61" s="61"/>
      <c r="H61" s="61"/>
      <c r="I61" s="84">
        <v>44348.0</v>
      </c>
      <c r="J61" s="86">
        <v>46388.0</v>
      </c>
      <c r="K61" s="86">
        <v>47635.0</v>
      </c>
      <c r="L61" s="49">
        <v>4.0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83" t="s">
        <v>1827</v>
      </c>
      <c r="B62" s="49" t="s">
        <v>1828</v>
      </c>
      <c r="C62" s="61"/>
      <c r="D62" s="61"/>
      <c r="E62" s="49" t="s">
        <v>21</v>
      </c>
      <c r="F62" s="49" t="s">
        <v>119</v>
      </c>
      <c r="G62" s="61"/>
      <c r="H62" s="61"/>
      <c r="I62" s="84">
        <v>44348.0</v>
      </c>
      <c r="J62" s="86">
        <v>46388.0</v>
      </c>
      <c r="K62" s="86">
        <v>47635.0</v>
      </c>
      <c r="L62" s="49">
        <v>4.0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83" t="s">
        <v>1829</v>
      </c>
      <c r="B63" s="49" t="s">
        <v>1830</v>
      </c>
      <c r="C63" s="49" t="s">
        <v>1831</v>
      </c>
      <c r="D63" s="49" t="s">
        <v>311</v>
      </c>
      <c r="E63" s="49" t="s">
        <v>21</v>
      </c>
      <c r="F63" s="49" t="s">
        <v>1832</v>
      </c>
      <c r="G63" s="49" t="s">
        <v>41</v>
      </c>
      <c r="H63" s="49" t="s">
        <v>1673</v>
      </c>
      <c r="I63" s="84">
        <v>45444.0</v>
      </c>
      <c r="J63" s="86">
        <v>46539.0</v>
      </c>
      <c r="K63" s="86">
        <v>47635.0</v>
      </c>
      <c r="L63" s="49">
        <v>4.0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83" t="s">
        <v>398</v>
      </c>
      <c r="B64" s="49" t="s">
        <v>1833</v>
      </c>
      <c r="C64" s="61"/>
      <c r="D64" s="61"/>
      <c r="E64" s="49" t="s">
        <v>1834</v>
      </c>
      <c r="F64" s="49" t="s">
        <v>1786</v>
      </c>
      <c r="G64" s="49">
        <v>2.0</v>
      </c>
      <c r="H64" s="49" t="s">
        <v>48</v>
      </c>
      <c r="I64" s="84">
        <v>45078.0</v>
      </c>
      <c r="J64" s="86">
        <v>46174.0</v>
      </c>
      <c r="K64" s="86">
        <v>47270.0</v>
      </c>
      <c r="L64" s="49">
        <v>4.0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83" t="s">
        <v>1835</v>
      </c>
      <c r="B65" s="49" t="s">
        <v>1836</v>
      </c>
      <c r="C65" s="49" t="s">
        <v>1837</v>
      </c>
      <c r="D65" s="49" t="s">
        <v>65</v>
      </c>
      <c r="E65" s="49" t="s">
        <v>21</v>
      </c>
      <c r="F65" s="49" t="s">
        <v>1838</v>
      </c>
      <c r="G65" s="49">
        <v>2.0</v>
      </c>
      <c r="H65" s="49" t="s">
        <v>1667</v>
      </c>
      <c r="I65" s="84">
        <v>45444.0</v>
      </c>
      <c r="J65" s="88"/>
      <c r="K65" s="86">
        <v>46539.0</v>
      </c>
      <c r="L65" s="49">
        <v>3.0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83" t="s">
        <v>1839</v>
      </c>
      <c r="B66" s="49" t="s">
        <v>1840</v>
      </c>
      <c r="C66" s="49" t="s">
        <v>1841</v>
      </c>
      <c r="D66" s="49" t="s">
        <v>71</v>
      </c>
      <c r="E66" s="49" t="s">
        <v>21</v>
      </c>
      <c r="F66" s="49" t="s">
        <v>1680</v>
      </c>
      <c r="G66" s="49" t="s">
        <v>85</v>
      </c>
      <c r="H66" s="49" t="s">
        <v>1842</v>
      </c>
      <c r="I66" s="84">
        <v>44713.0</v>
      </c>
      <c r="J66" s="89"/>
      <c r="K66" s="86">
        <v>45809.0</v>
      </c>
      <c r="L66" s="49">
        <v>3.0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83" t="s">
        <v>1843</v>
      </c>
      <c r="B67" s="49" t="s">
        <v>1844</v>
      </c>
      <c r="C67" s="49" t="s">
        <v>1845</v>
      </c>
      <c r="D67" s="49" t="s">
        <v>71</v>
      </c>
      <c r="E67" s="49" t="s">
        <v>21</v>
      </c>
      <c r="F67" s="49" t="s">
        <v>1670</v>
      </c>
      <c r="G67" s="49">
        <v>3.0</v>
      </c>
      <c r="H67" s="49" t="s">
        <v>244</v>
      </c>
      <c r="I67" s="84">
        <v>45078.0</v>
      </c>
      <c r="J67" s="89"/>
      <c r="K67" s="86">
        <v>46174.0</v>
      </c>
      <c r="L67" s="49">
        <v>3.0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47" t="s">
        <v>1843</v>
      </c>
      <c r="B68" s="48" t="s">
        <v>1844</v>
      </c>
      <c r="C68" s="48" t="s">
        <v>1845</v>
      </c>
      <c r="D68" s="48" t="s">
        <v>71</v>
      </c>
      <c r="E68" s="48" t="s">
        <v>21</v>
      </c>
      <c r="F68" s="48" t="s">
        <v>1675</v>
      </c>
      <c r="G68" s="48" t="s">
        <v>85</v>
      </c>
      <c r="H68" s="48" t="s">
        <v>1718</v>
      </c>
      <c r="I68" s="84">
        <v>45444.0</v>
      </c>
      <c r="J68" s="88"/>
      <c r="K68" s="86">
        <v>46539.0</v>
      </c>
      <c r="L68" s="49">
        <v>3.0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47" t="s">
        <v>1846</v>
      </c>
      <c r="B69" s="48" t="s">
        <v>1847</v>
      </c>
      <c r="C69" s="48" t="s">
        <v>1848</v>
      </c>
      <c r="D69" s="48" t="s">
        <v>71</v>
      </c>
      <c r="E69" s="48" t="s">
        <v>21</v>
      </c>
      <c r="F69" s="48" t="s">
        <v>1675</v>
      </c>
      <c r="G69" s="48" t="s">
        <v>79</v>
      </c>
      <c r="H69" s="48" t="s">
        <v>1718</v>
      </c>
      <c r="I69" s="84">
        <v>45444.0</v>
      </c>
      <c r="J69" s="88"/>
      <c r="K69" s="86">
        <v>46539.0</v>
      </c>
      <c r="L69" s="49">
        <v>3.0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47" t="s">
        <v>1849</v>
      </c>
      <c r="B70" s="48" t="s">
        <v>1850</v>
      </c>
      <c r="C70" s="48" t="s">
        <v>1851</v>
      </c>
      <c r="D70" s="48" t="s">
        <v>234</v>
      </c>
      <c r="E70" s="48" t="s">
        <v>21</v>
      </c>
      <c r="F70" s="48" t="s">
        <v>1806</v>
      </c>
      <c r="G70" s="48" t="s">
        <v>79</v>
      </c>
      <c r="H70" s="48" t="s">
        <v>1791</v>
      </c>
      <c r="I70" s="84">
        <v>45444.0</v>
      </c>
      <c r="J70" s="88"/>
      <c r="K70" s="86">
        <v>46539.0</v>
      </c>
      <c r="L70" s="49">
        <v>3.0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83" t="s">
        <v>1852</v>
      </c>
      <c r="B71" s="49" t="s">
        <v>1853</v>
      </c>
      <c r="C71" s="49" t="s">
        <v>1854</v>
      </c>
      <c r="D71" s="49" t="s">
        <v>57</v>
      </c>
      <c r="E71" s="49" t="s">
        <v>21</v>
      </c>
      <c r="F71" s="49" t="s">
        <v>1680</v>
      </c>
      <c r="G71" s="49" t="s">
        <v>41</v>
      </c>
      <c r="H71" s="49" t="s">
        <v>1743</v>
      </c>
      <c r="I71" s="84">
        <v>44713.0</v>
      </c>
      <c r="J71" s="88"/>
      <c r="K71" s="86">
        <v>45809.0</v>
      </c>
      <c r="L71" s="49">
        <v>3.0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47" t="s">
        <v>1855</v>
      </c>
      <c r="B72" s="48" t="s">
        <v>1811</v>
      </c>
      <c r="C72" s="48" t="s">
        <v>1856</v>
      </c>
      <c r="D72" s="48" t="s">
        <v>90</v>
      </c>
      <c r="E72" s="48" t="s">
        <v>21</v>
      </c>
      <c r="F72" s="48" t="s">
        <v>1857</v>
      </c>
      <c r="G72" s="48" t="s">
        <v>85</v>
      </c>
      <c r="H72" s="48" t="s">
        <v>1777</v>
      </c>
      <c r="I72" s="84">
        <v>45444.0</v>
      </c>
      <c r="J72" s="89"/>
      <c r="K72" s="86">
        <v>46539.0</v>
      </c>
      <c r="L72" s="49">
        <v>3.0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83" t="s">
        <v>1858</v>
      </c>
      <c r="B73" s="49" t="s">
        <v>1859</v>
      </c>
      <c r="C73" s="49" t="s">
        <v>781</v>
      </c>
      <c r="D73" s="49" t="s">
        <v>57</v>
      </c>
      <c r="E73" s="49" t="s">
        <v>21</v>
      </c>
      <c r="F73" s="49" t="s">
        <v>1680</v>
      </c>
      <c r="G73" s="49" t="s">
        <v>85</v>
      </c>
      <c r="H73" s="49" t="s">
        <v>1743</v>
      </c>
      <c r="I73" s="84">
        <v>44713.0</v>
      </c>
      <c r="J73" s="88"/>
      <c r="K73" s="86">
        <v>45809.0</v>
      </c>
      <c r="L73" s="49">
        <v>3.0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47" t="s">
        <v>1860</v>
      </c>
      <c r="B74" s="48" t="s">
        <v>1861</v>
      </c>
      <c r="C74" s="48" t="s">
        <v>1862</v>
      </c>
      <c r="D74" s="48" t="s">
        <v>27</v>
      </c>
      <c r="E74" s="48" t="s">
        <v>21</v>
      </c>
      <c r="F74" s="48" t="s">
        <v>1675</v>
      </c>
      <c r="G74" s="48" t="s">
        <v>79</v>
      </c>
      <c r="H74" s="48" t="s">
        <v>1791</v>
      </c>
      <c r="I74" s="84">
        <v>45444.0</v>
      </c>
      <c r="J74" s="89"/>
      <c r="K74" s="86">
        <v>46539.0</v>
      </c>
      <c r="L74" s="49">
        <v>3.0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83" t="s">
        <v>596</v>
      </c>
      <c r="B75" s="49" t="s">
        <v>1863</v>
      </c>
      <c r="C75" s="49" t="s">
        <v>598</v>
      </c>
      <c r="D75" s="49" t="s">
        <v>270</v>
      </c>
      <c r="E75" s="49" t="s">
        <v>21</v>
      </c>
      <c r="F75" s="49" t="s">
        <v>1864</v>
      </c>
      <c r="G75" s="90">
        <v>45355.0</v>
      </c>
      <c r="H75" s="49" t="s">
        <v>48</v>
      </c>
      <c r="I75" s="84">
        <v>45078.0</v>
      </c>
      <c r="J75" s="88"/>
      <c r="K75" s="86">
        <v>46174.0</v>
      </c>
      <c r="L75" s="49">
        <v>3.0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83" t="s">
        <v>1865</v>
      </c>
      <c r="B76" s="49" t="s">
        <v>1866</v>
      </c>
      <c r="C76" s="61"/>
      <c r="D76" s="61"/>
      <c r="E76" s="61"/>
      <c r="F76" s="49" t="s">
        <v>119</v>
      </c>
      <c r="G76" s="61"/>
      <c r="H76" s="61"/>
      <c r="I76" s="84">
        <v>45444.0</v>
      </c>
      <c r="J76" s="86">
        <v>46388.0</v>
      </c>
      <c r="K76" s="86">
        <v>47635.0</v>
      </c>
      <c r="L76" s="49">
        <v>4.0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47" t="s">
        <v>604</v>
      </c>
      <c r="B77" s="48" t="s">
        <v>1867</v>
      </c>
      <c r="C77" s="48" t="s">
        <v>881</v>
      </c>
      <c r="D77" s="48" t="s">
        <v>329</v>
      </c>
      <c r="E77" s="49" t="s">
        <v>21</v>
      </c>
      <c r="F77" s="48" t="s">
        <v>1868</v>
      </c>
      <c r="G77" s="48" t="s">
        <v>79</v>
      </c>
      <c r="H77" s="48" t="s">
        <v>1673</v>
      </c>
      <c r="I77" s="84">
        <v>45444.0</v>
      </c>
      <c r="J77" s="89"/>
      <c r="K77" s="86">
        <v>46539.0</v>
      </c>
      <c r="L77" s="49">
        <v>3.0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83" t="s">
        <v>1869</v>
      </c>
      <c r="B78" s="49" t="s">
        <v>1754</v>
      </c>
      <c r="C78" s="49" t="s">
        <v>1662</v>
      </c>
      <c r="D78" s="49" t="s">
        <v>20</v>
      </c>
      <c r="E78" s="49" t="s">
        <v>21</v>
      </c>
      <c r="F78" s="49" t="s">
        <v>1870</v>
      </c>
      <c r="G78" s="49" t="s">
        <v>85</v>
      </c>
      <c r="H78" s="49" t="s">
        <v>98</v>
      </c>
      <c r="I78" s="84">
        <v>44713.0</v>
      </c>
      <c r="J78" s="89"/>
      <c r="K78" s="86">
        <v>45809.0</v>
      </c>
      <c r="L78" s="49">
        <v>3.0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83" t="s">
        <v>1871</v>
      </c>
      <c r="B79" s="49" t="s">
        <v>1872</v>
      </c>
      <c r="C79" s="49" t="s">
        <v>1873</v>
      </c>
      <c r="D79" s="49" t="s">
        <v>851</v>
      </c>
      <c r="E79" s="49" t="s">
        <v>21</v>
      </c>
      <c r="F79" s="49" t="s">
        <v>1874</v>
      </c>
      <c r="G79" s="49" t="s">
        <v>391</v>
      </c>
      <c r="H79" s="49" t="s">
        <v>124</v>
      </c>
      <c r="I79" s="84">
        <v>43617.0</v>
      </c>
      <c r="J79" s="88"/>
      <c r="K79" s="86">
        <v>45809.0</v>
      </c>
      <c r="L79" s="49">
        <v>3.0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83" t="s">
        <v>1875</v>
      </c>
      <c r="B80" s="49" t="s">
        <v>1876</v>
      </c>
      <c r="C80" s="49" t="s">
        <v>1877</v>
      </c>
      <c r="D80" s="49" t="s">
        <v>57</v>
      </c>
      <c r="E80" s="49" t="s">
        <v>21</v>
      </c>
      <c r="F80" s="49" t="s">
        <v>1680</v>
      </c>
      <c r="G80" s="49" t="s">
        <v>41</v>
      </c>
      <c r="H80" s="49" t="s">
        <v>1743</v>
      </c>
      <c r="I80" s="84">
        <v>44713.0</v>
      </c>
      <c r="J80" s="88"/>
      <c r="K80" s="86">
        <v>45809.0</v>
      </c>
      <c r="L80" s="49">
        <v>3.0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83" t="s">
        <v>1878</v>
      </c>
      <c r="B81" s="49" t="s">
        <v>1879</v>
      </c>
      <c r="C81" s="49" t="s">
        <v>390</v>
      </c>
      <c r="D81" s="49" t="s">
        <v>102</v>
      </c>
      <c r="E81" s="49" t="s">
        <v>21</v>
      </c>
      <c r="F81" s="49" t="s">
        <v>1880</v>
      </c>
      <c r="G81" s="49">
        <v>4.0</v>
      </c>
      <c r="H81" s="49" t="s">
        <v>48</v>
      </c>
      <c r="I81" s="84">
        <v>45078.0</v>
      </c>
      <c r="J81" s="88"/>
      <c r="K81" s="86">
        <v>46174.0</v>
      </c>
      <c r="L81" s="49">
        <v>3.0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83" t="s">
        <v>1881</v>
      </c>
      <c r="B82" s="49" t="s">
        <v>1882</v>
      </c>
      <c r="C82" s="61"/>
      <c r="D82" s="61"/>
      <c r="E82" s="61"/>
      <c r="F82" s="49" t="s">
        <v>119</v>
      </c>
      <c r="G82" s="61"/>
      <c r="H82" s="61"/>
      <c r="I82" s="84">
        <v>44348.0</v>
      </c>
      <c r="J82" s="86">
        <v>46539.0</v>
      </c>
      <c r="K82" s="86">
        <v>47635.0</v>
      </c>
      <c r="L82" s="49">
        <v>4.0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47" t="s">
        <v>1883</v>
      </c>
      <c r="B83" s="48" t="s">
        <v>1736</v>
      </c>
      <c r="C83" s="48" t="s">
        <v>1884</v>
      </c>
      <c r="D83" s="48" t="s">
        <v>266</v>
      </c>
      <c r="E83" s="49" t="s">
        <v>21</v>
      </c>
      <c r="F83" s="48" t="s">
        <v>1885</v>
      </c>
      <c r="G83" s="48" t="s">
        <v>97</v>
      </c>
      <c r="H83" s="48" t="s">
        <v>1673</v>
      </c>
      <c r="I83" s="84">
        <v>45444.0</v>
      </c>
      <c r="J83" s="88"/>
      <c r="K83" s="86">
        <v>46539.0</v>
      </c>
      <c r="L83" s="49">
        <v>3.0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47" t="s">
        <v>1886</v>
      </c>
      <c r="B84" s="48" t="s">
        <v>1887</v>
      </c>
      <c r="C84" s="48" t="s">
        <v>594</v>
      </c>
      <c r="D84" s="48" t="s">
        <v>595</v>
      </c>
      <c r="E84" s="48" t="s">
        <v>21</v>
      </c>
      <c r="F84" s="48" t="s">
        <v>1666</v>
      </c>
      <c r="G84" s="48" t="s">
        <v>79</v>
      </c>
      <c r="H84" s="48" t="s">
        <v>337</v>
      </c>
      <c r="I84" s="84">
        <v>45444.0</v>
      </c>
      <c r="J84" s="88"/>
      <c r="K84" s="86">
        <v>46539.0</v>
      </c>
      <c r="L84" s="49">
        <v>3.0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83" t="s">
        <v>1888</v>
      </c>
      <c r="B85" s="49" t="s">
        <v>1889</v>
      </c>
      <c r="C85" s="49" t="s">
        <v>1454</v>
      </c>
      <c r="D85" s="49" t="s">
        <v>128</v>
      </c>
      <c r="E85" s="49" t="s">
        <v>21</v>
      </c>
      <c r="F85" s="49" t="s">
        <v>1680</v>
      </c>
      <c r="G85" s="49" t="s">
        <v>85</v>
      </c>
      <c r="H85" s="49" t="s">
        <v>1761</v>
      </c>
      <c r="I85" s="84">
        <v>44713.0</v>
      </c>
      <c r="J85" s="88"/>
      <c r="K85" s="86">
        <v>45809.0</v>
      </c>
      <c r="L85" s="49">
        <v>3.0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47" t="s">
        <v>1890</v>
      </c>
      <c r="B86" s="48" t="s">
        <v>1891</v>
      </c>
      <c r="C86" s="48" t="s">
        <v>1111</v>
      </c>
      <c r="D86" s="48" t="s">
        <v>275</v>
      </c>
      <c r="E86" s="48" t="s">
        <v>21</v>
      </c>
      <c r="F86" s="48" t="s">
        <v>1675</v>
      </c>
      <c r="G86" s="48" t="s">
        <v>41</v>
      </c>
      <c r="H86" s="48" t="s">
        <v>1892</v>
      </c>
      <c r="I86" s="84">
        <v>45444.0</v>
      </c>
      <c r="J86" s="89"/>
      <c r="K86" s="86">
        <v>46539.0</v>
      </c>
      <c r="L86" s="49">
        <v>3.0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47" t="s">
        <v>1893</v>
      </c>
      <c r="B87" s="48" t="s">
        <v>1766</v>
      </c>
      <c r="C87" s="48" t="s">
        <v>83</v>
      </c>
      <c r="D87" s="48" t="s">
        <v>84</v>
      </c>
      <c r="E87" s="48" t="s">
        <v>21</v>
      </c>
      <c r="F87" s="48" t="s">
        <v>1666</v>
      </c>
      <c r="G87" s="48" t="s">
        <v>41</v>
      </c>
      <c r="H87" s="48" t="s">
        <v>337</v>
      </c>
      <c r="I87" s="84">
        <v>45444.0</v>
      </c>
      <c r="J87" s="89"/>
      <c r="K87" s="86">
        <v>46539.0</v>
      </c>
      <c r="L87" s="49">
        <v>3.0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83" t="s">
        <v>1894</v>
      </c>
      <c r="B88" s="49" t="s">
        <v>1895</v>
      </c>
      <c r="C88" s="49" t="s">
        <v>1896</v>
      </c>
      <c r="D88" s="49" t="s">
        <v>20</v>
      </c>
      <c r="E88" s="49" t="s">
        <v>21</v>
      </c>
      <c r="F88" s="49" t="s">
        <v>1721</v>
      </c>
      <c r="G88" s="49">
        <v>3.0</v>
      </c>
      <c r="H88" s="49" t="s">
        <v>48</v>
      </c>
      <c r="I88" s="84">
        <v>45078.0</v>
      </c>
      <c r="J88" s="88"/>
      <c r="K88" s="86">
        <v>46174.0</v>
      </c>
      <c r="L88" s="49">
        <v>3.0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47" t="s">
        <v>1897</v>
      </c>
      <c r="B89" s="48" t="s">
        <v>1898</v>
      </c>
      <c r="C89" s="48" t="s">
        <v>1899</v>
      </c>
      <c r="D89" s="48" t="s">
        <v>27</v>
      </c>
      <c r="E89" s="48" t="s">
        <v>21</v>
      </c>
      <c r="F89" s="48" t="s">
        <v>1806</v>
      </c>
      <c r="G89" s="48" t="s">
        <v>79</v>
      </c>
      <c r="H89" s="48" t="s">
        <v>1676</v>
      </c>
      <c r="I89" s="84">
        <v>45444.0</v>
      </c>
      <c r="J89" s="88"/>
      <c r="K89" s="86">
        <v>46539.0</v>
      </c>
      <c r="L89" s="49">
        <v>3.0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83" t="s">
        <v>1900</v>
      </c>
      <c r="B90" s="49" t="s">
        <v>1901</v>
      </c>
      <c r="C90" s="49" t="s">
        <v>1902</v>
      </c>
      <c r="D90" s="49" t="s">
        <v>46</v>
      </c>
      <c r="E90" s="49" t="s">
        <v>21</v>
      </c>
      <c r="F90" s="49" t="s">
        <v>1903</v>
      </c>
      <c r="G90" s="49">
        <v>3.0</v>
      </c>
      <c r="H90" s="49" t="s">
        <v>48</v>
      </c>
      <c r="I90" s="84">
        <v>45078.0</v>
      </c>
      <c r="J90" s="86">
        <v>46174.0</v>
      </c>
      <c r="K90" s="86">
        <v>47270.0</v>
      </c>
      <c r="L90" s="49">
        <v>4.0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83" t="s">
        <v>1904</v>
      </c>
      <c r="B91" s="49" t="s">
        <v>1850</v>
      </c>
      <c r="C91" s="49" t="s">
        <v>1905</v>
      </c>
      <c r="D91" s="49" t="s">
        <v>84</v>
      </c>
      <c r="E91" s="49" t="s">
        <v>21</v>
      </c>
      <c r="F91" s="49" t="s">
        <v>1690</v>
      </c>
      <c r="G91" s="49" t="s">
        <v>85</v>
      </c>
      <c r="H91" s="49" t="s">
        <v>337</v>
      </c>
      <c r="I91" s="84">
        <v>45444.0</v>
      </c>
      <c r="J91" s="88"/>
      <c r="K91" s="86">
        <v>46539.0</v>
      </c>
      <c r="L91" s="49">
        <v>3.0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83" t="s">
        <v>1906</v>
      </c>
      <c r="B92" s="49" t="s">
        <v>1907</v>
      </c>
      <c r="C92" s="49" t="s">
        <v>1454</v>
      </c>
      <c r="D92" s="49" t="s">
        <v>128</v>
      </c>
      <c r="E92" s="49" t="s">
        <v>21</v>
      </c>
      <c r="F92" s="49" t="s">
        <v>1857</v>
      </c>
      <c r="G92" s="49" t="s">
        <v>85</v>
      </c>
      <c r="H92" s="49" t="s">
        <v>1761</v>
      </c>
      <c r="I92" s="84">
        <v>44713.0</v>
      </c>
      <c r="J92" s="88"/>
      <c r="K92" s="86">
        <v>45809.0</v>
      </c>
      <c r="L92" s="49">
        <v>3.0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83" t="s">
        <v>1908</v>
      </c>
      <c r="B93" s="49" t="s">
        <v>423</v>
      </c>
      <c r="C93" s="49" t="s">
        <v>1530</v>
      </c>
      <c r="D93" s="49" t="s">
        <v>137</v>
      </c>
      <c r="E93" s="49" t="s">
        <v>21</v>
      </c>
      <c r="F93" s="49" t="s">
        <v>1909</v>
      </c>
      <c r="G93" s="49">
        <v>3.0</v>
      </c>
      <c r="H93" s="49" t="s">
        <v>48</v>
      </c>
      <c r="I93" s="84">
        <v>45078.0</v>
      </c>
      <c r="J93" s="86">
        <v>46174.0</v>
      </c>
      <c r="K93" s="86">
        <v>47270.0</v>
      </c>
      <c r="L93" s="49">
        <v>4.0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47" t="s">
        <v>1910</v>
      </c>
      <c r="B94" s="48" t="s">
        <v>1911</v>
      </c>
      <c r="C94" s="48" t="s">
        <v>1912</v>
      </c>
      <c r="D94" s="48" t="s">
        <v>266</v>
      </c>
      <c r="E94" s="49" t="s">
        <v>21</v>
      </c>
      <c r="F94" s="48" t="s">
        <v>1885</v>
      </c>
      <c r="G94" s="48" t="s">
        <v>85</v>
      </c>
      <c r="H94" s="48" t="s">
        <v>1673</v>
      </c>
      <c r="I94" s="84">
        <v>45444.0</v>
      </c>
      <c r="J94" s="89"/>
      <c r="K94" s="86">
        <v>46539.0</v>
      </c>
      <c r="L94" s="49">
        <v>3.0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83" t="s">
        <v>1913</v>
      </c>
      <c r="B95" s="49" t="s">
        <v>1914</v>
      </c>
      <c r="C95" s="49" t="s">
        <v>1915</v>
      </c>
      <c r="D95" s="49" t="s">
        <v>430</v>
      </c>
      <c r="E95" s="49" t="s">
        <v>21</v>
      </c>
      <c r="F95" s="49" t="s">
        <v>1670</v>
      </c>
      <c r="G95" s="49">
        <v>3.0</v>
      </c>
      <c r="H95" s="49" t="s">
        <v>202</v>
      </c>
      <c r="I95" s="84">
        <v>45078.0</v>
      </c>
      <c r="J95" s="88"/>
      <c r="K95" s="86">
        <v>46174.0</v>
      </c>
      <c r="L95" s="49">
        <v>3.0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83" t="s">
        <v>1916</v>
      </c>
      <c r="B96" s="49" t="s">
        <v>1917</v>
      </c>
      <c r="C96" s="61"/>
      <c r="D96" s="49" t="s">
        <v>305</v>
      </c>
      <c r="E96" s="49" t="s">
        <v>1036</v>
      </c>
      <c r="F96" s="49" t="s">
        <v>1918</v>
      </c>
      <c r="G96" s="49" t="s">
        <v>79</v>
      </c>
      <c r="H96" s="49" t="s">
        <v>98</v>
      </c>
      <c r="I96" s="84">
        <v>44713.0</v>
      </c>
      <c r="J96" s="86">
        <v>45809.0</v>
      </c>
      <c r="K96" s="86">
        <v>46905.0</v>
      </c>
      <c r="L96" s="49">
        <v>4.0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83" t="s">
        <v>1919</v>
      </c>
      <c r="B97" s="49" t="s">
        <v>1920</v>
      </c>
      <c r="C97" s="49" t="s">
        <v>678</v>
      </c>
      <c r="D97" s="49" t="s">
        <v>163</v>
      </c>
      <c r="E97" s="49" t="s">
        <v>21</v>
      </c>
      <c r="F97" s="49" t="s">
        <v>1675</v>
      </c>
      <c r="G97" s="49" t="s">
        <v>85</v>
      </c>
      <c r="H97" s="49" t="s">
        <v>337</v>
      </c>
      <c r="I97" s="84">
        <v>45444.0</v>
      </c>
      <c r="J97" s="88"/>
      <c r="K97" s="86">
        <v>46539.0</v>
      </c>
      <c r="L97" s="49">
        <v>3.0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83" t="s">
        <v>1921</v>
      </c>
      <c r="B98" s="49" t="s">
        <v>1922</v>
      </c>
      <c r="C98" s="49" t="s">
        <v>1923</v>
      </c>
      <c r="D98" s="49" t="s">
        <v>801</v>
      </c>
      <c r="E98" s="49" t="s">
        <v>21</v>
      </c>
      <c r="F98" s="49" t="s">
        <v>1870</v>
      </c>
      <c r="G98" s="49" t="s">
        <v>79</v>
      </c>
      <c r="H98" s="49" t="s">
        <v>1924</v>
      </c>
      <c r="I98" s="84">
        <v>44713.0</v>
      </c>
      <c r="J98" s="88"/>
      <c r="K98" s="86">
        <v>45809.0</v>
      </c>
      <c r="L98" s="49">
        <v>3.0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83" t="s">
        <v>1925</v>
      </c>
      <c r="B99" s="49" t="s">
        <v>1926</v>
      </c>
      <c r="C99" s="61"/>
      <c r="D99" s="61"/>
      <c r="E99" s="61"/>
      <c r="F99" s="49" t="s">
        <v>1927</v>
      </c>
      <c r="G99" s="61"/>
      <c r="H99" s="61"/>
      <c r="I99" s="84">
        <v>44348.0</v>
      </c>
      <c r="J99" s="88"/>
      <c r="K99" s="86">
        <v>46539.0</v>
      </c>
      <c r="L99" s="49">
        <v>3.0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83" t="s">
        <v>762</v>
      </c>
      <c r="B100" s="49" t="s">
        <v>1928</v>
      </c>
      <c r="C100" s="49" t="s">
        <v>1929</v>
      </c>
      <c r="D100" s="49" t="s">
        <v>46</v>
      </c>
      <c r="E100" s="49" t="s">
        <v>21</v>
      </c>
      <c r="F100" s="49" t="s">
        <v>1701</v>
      </c>
      <c r="G100" s="49" t="s">
        <v>79</v>
      </c>
      <c r="H100" s="49" t="s">
        <v>1673</v>
      </c>
      <c r="I100" s="84">
        <v>45444.0</v>
      </c>
      <c r="J100" s="86">
        <v>46539.0</v>
      </c>
      <c r="K100" s="86">
        <v>47635.0</v>
      </c>
      <c r="L100" s="49">
        <v>4.0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83" t="s">
        <v>1930</v>
      </c>
      <c r="B101" s="49" t="s">
        <v>1931</v>
      </c>
      <c r="C101" s="49" t="s">
        <v>1932</v>
      </c>
      <c r="D101" s="49" t="s">
        <v>20</v>
      </c>
      <c r="E101" s="49" t="s">
        <v>21</v>
      </c>
      <c r="F101" s="49" t="s">
        <v>1772</v>
      </c>
      <c r="G101" s="49" t="s">
        <v>35</v>
      </c>
      <c r="H101" s="49" t="s">
        <v>36</v>
      </c>
      <c r="I101" s="84">
        <v>45078.0</v>
      </c>
      <c r="J101" s="86">
        <v>46539.0</v>
      </c>
      <c r="K101" s="86">
        <v>47635.0</v>
      </c>
      <c r="L101" s="49">
        <v>4.0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83" t="s">
        <v>1933</v>
      </c>
      <c r="B102" s="49" t="s">
        <v>1934</v>
      </c>
      <c r="C102" s="61"/>
      <c r="D102" s="61"/>
      <c r="E102" s="49" t="s">
        <v>177</v>
      </c>
      <c r="F102" s="49" t="s">
        <v>1806</v>
      </c>
      <c r="G102" s="49">
        <v>1.0</v>
      </c>
      <c r="H102" s="49" t="s">
        <v>1667</v>
      </c>
      <c r="I102" s="84">
        <v>45444.0</v>
      </c>
      <c r="J102" s="86">
        <v>46174.0</v>
      </c>
      <c r="K102" s="86">
        <v>47270.0</v>
      </c>
      <c r="L102" s="49">
        <v>4.0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83" t="s">
        <v>1935</v>
      </c>
      <c r="B103" s="49" t="s">
        <v>1936</v>
      </c>
      <c r="C103" s="49" t="s">
        <v>1937</v>
      </c>
      <c r="D103" s="49" t="s">
        <v>430</v>
      </c>
      <c r="E103" s="49" t="s">
        <v>21</v>
      </c>
      <c r="F103" s="49" t="s">
        <v>119</v>
      </c>
      <c r="G103" s="61"/>
      <c r="H103" s="61"/>
      <c r="I103" s="84">
        <v>44348.0</v>
      </c>
      <c r="J103" s="86">
        <v>46539.0</v>
      </c>
      <c r="K103" s="86">
        <v>47635.0</v>
      </c>
      <c r="L103" s="49">
        <v>4.0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83" t="s">
        <v>1938</v>
      </c>
      <c r="B104" s="49" t="s">
        <v>1939</v>
      </c>
      <c r="C104" s="49" t="s">
        <v>755</v>
      </c>
      <c r="D104" s="49" t="s">
        <v>20</v>
      </c>
      <c r="E104" s="49" t="s">
        <v>21</v>
      </c>
      <c r="F104" s="49" t="s">
        <v>1940</v>
      </c>
      <c r="G104" s="49" t="s">
        <v>391</v>
      </c>
      <c r="H104" s="49" t="s">
        <v>124</v>
      </c>
      <c r="I104" s="84">
        <v>43617.0</v>
      </c>
      <c r="J104" s="88"/>
      <c r="K104" s="86">
        <v>45809.0</v>
      </c>
      <c r="L104" s="49">
        <v>3.0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83" t="s">
        <v>790</v>
      </c>
      <c r="B105" s="49" t="s">
        <v>1941</v>
      </c>
      <c r="C105" s="49" t="s">
        <v>1144</v>
      </c>
      <c r="D105" s="49" t="s">
        <v>163</v>
      </c>
      <c r="E105" s="49" t="s">
        <v>21</v>
      </c>
      <c r="F105" s="49" t="s">
        <v>1690</v>
      </c>
      <c r="G105" s="49" t="s">
        <v>41</v>
      </c>
      <c r="H105" s="49" t="s">
        <v>337</v>
      </c>
      <c r="I105" s="84">
        <v>45444.0</v>
      </c>
      <c r="J105" s="88"/>
      <c r="K105" s="86">
        <v>46539.0</v>
      </c>
      <c r="L105" s="49">
        <v>3.0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83" t="s">
        <v>790</v>
      </c>
      <c r="B106" s="49" t="s">
        <v>1942</v>
      </c>
      <c r="C106" s="49" t="s">
        <v>1943</v>
      </c>
      <c r="D106" s="49" t="s">
        <v>65</v>
      </c>
      <c r="E106" s="49" t="s">
        <v>21</v>
      </c>
      <c r="F106" s="49" t="s">
        <v>1690</v>
      </c>
      <c r="G106" s="49" t="s">
        <v>79</v>
      </c>
      <c r="H106" s="49" t="s">
        <v>1782</v>
      </c>
      <c r="I106" s="84">
        <v>44713.0</v>
      </c>
      <c r="J106" s="88"/>
      <c r="K106" s="86">
        <v>45809.0</v>
      </c>
      <c r="L106" s="49">
        <v>3.0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83" t="s">
        <v>1944</v>
      </c>
      <c r="B107" s="49" t="s">
        <v>1729</v>
      </c>
      <c r="C107" s="49" t="s">
        <v>1945</v>
      </c>
      <c r="D107" s="49" t="s">
        <v>311</v>
      </c>
      <c r="E107" s="49" t="s">
        <v>21</v>
      </c>
      <c r="F107" s="49" t="s">
        <v>1680</v>
      </c>
      <c r="G107" s="49" t="s">
        <v>97</v>
      </c>
      <c r="H107" s="49" t="s">
        <v>98</v>
      </c>
      <c r="I107" s="84">
        <v>44713.0</v>
      </c>
      <c r="J107" s="88"/>
      <c r="K107" s="86">
        <v>45809.0</v>
      </c>
      <c r="L107" s="49">
        <v>3.0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83" t="s">
        <v>1946</v>
      </c>
      <c r="B108" s="49" t="s">
        <v>1947</v>
      </c>
      <c r="C108" s="49" t="s">
        <v>1948</v>
      </c>
      <c r="D108" s="49" t="s">
        <v>46</v>
      </c>
      <c r="E108" s="49" t="s">
        <v>21</v>
      </c>
      <c r="F108" s="49" t="s">
        <v>1949</v>
      </c>
      <c r="G108" s="49" t="s">
        <v>85</v>
      </c>
      <c r="H108" s="49" t="s">
        <v>98</v>
      </c>
      <c r="I108" s="84">
        <v>44713.0</v>
      </c>
      <c r="J108" s="86">
        <v>45809.0</v>
      </c>
      <c r="K108" s="86">
        <v>46905.0</v>
      </c>
      <c r="L108" s="49">
        <v>4.0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83" t="s">
        <v>1950</v>
      </c>
      <c r="B109" s="49" t="s">
        <v>1951</v>
      </c>
      <c r="C109" s="49" t="s">
        <v>1952</v>
      </c>
      <c r="D109" s="49" t="s">
        <v>266</v>
      </c>
      <c r="E109" s="49" t="s">
        <v>21</v>
      </c>
      <c r="F109" s="49" t="s">
        <v>1953</v>
      </c>
      <c r="G109" s="49" t="s">
        <v>97</v>
      </c>
      <c r="H109" s="49" t="s">
        <v>1673</v>
      </c>
      <c r="I109" s="84">
        <v>45444.0</v>
      </c>
      <c r="J109" s="86">
        <v>46539.0</v>
      </c>
      <c r="K109" s="86">
        <v>47635.0</v>
      </c>
      <c r="L109" s="49">
        <v>4.0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83" t="s">
        <v>1954</v>
      </c>
      <c r="B110" s="49" t="s">
        <v>1955</v>
      </c>
      <c r="C110" s="61"/>
      <c r="D110" s="61"/>
      <c r="E110" s="61"/>
      <c r="F110" s="49" t="s">
        <v>119</v>
      </c>
      <c r="G110" s="61"/>
      <c r="H110" s="61"/>
      <c r="I110" s="84">
        <v>45444.0</v>
      </c>
      <c r="J110" s="86">
        <v>46539.0</v>
      </c>
      <c r="K110" s="86">
        <v>47635.0</v>
      </c>
      <c r="L110" s="49">
        <v>4.0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83" t="s">
        <v>1956</v>
      </c>
      <c r="B111" s="49" t="s">
        <v>1696</v>
      </c>
      <c r="C111" s="49" t="s">
        <v>1432</v>
      </c>
      <c r="D111" s="49" t="s">
        <v>71</v>
      </c>
      <c r="E111" s="49" t="s">
        <v>21</v>
      </c>
      <c r="F111" s="49" t="s">
        <v>1680</v>
      </c>
      <c r="G111" s="49" t="s">
        <v>85</v>
      </c>
      <c r="H111" s="49" t="s">
        <v>1842</v>
      </c>
      <c r="I111" s="84">
        <v>44713.0</v>
      </c>
      <c r="J111" s="89"/>
      <c r="K111" s="86">
        <v>45809.0</v>
      </c>
      <c r="L111" s="49">
        <v>3.0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83" t="s">
        <v>1957</v>
      </c>
      <c r="B112" s="49" t="s">
        <v>1958</v>
      </c>
      <c r="C112" s="49" t="s">
        <v>1959</v>
      </c>
      <c r="D112" s="49" t="s">
        <v>20</v>
      </c>
      <c r="E112" s="49" t="s">
        <v>21</v>
      </c>
      <c r="F112" s="49" t="s">
        <v>1680</v>
      </c>
      <c r="G112" s="49" t="s">
        <v>85</v>
      </c>
      <c r="H112" s="49" t="s">
        <v>1820</v>
      </c>
      <c r="I112" s="84">
        <v>45444.0</v>
      </c>
      <c r="J112" s="88"/>
      <c r="K112" s="86">
        <v>46539.0</v>
      </c>
      <c r="L112" s="49">
        <v>3.0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83" t="s">
        <v>429</v>
      </c>
      <c r="B113" s="49" t="s">
        <v>1914</v>
      </c>
      <c r="C113" s="49" t="s">
        <v>1960</v>
      </c>
      <c r="D113" s="49" t="s">
        <v>27</v>
      </c>
      <c r="E113" s="49" t="s">
        <v>21</v>
      </c>
      <c r="F113" s="49" t="s">
        <v>1670</v>
      </c>
      <c r="G113" s="49">
        <v>1.0</v>
      </c>
      <c r="H113" s="49" t="s">
        <v>206</v>
      </c>
      <c r="I113" s="84">
        <v>45078.0</v>
      </c>
      <c r="J113" s="88"/>
      <c r="K113" s="86">
        <v>46174.0</v>
      </c>
      <c r="L113" s="49">
        <v>3.0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83" t="s">
        <v>1135</v>
      </c>
      <c r="B114" s="49" t="s">
        <v>1961</v>
      </c>
      <c r="C114" s="49" t="s">
        <v>1962</v>
      </c>
      <c r="D114" s="49" t="s">
        <v>128</v>
      </c>
      <c r="E114" s="49" t="s">
        <v>21</v>
      </c>
      <c r="F114" s="49" t="s">
        <v>1675</v>
      </c>
      <c r="G114" s="49">
        <v>3.0</v>
      </c>
      <c r="H114" s="49" t="s">
        <v>224</v>
      </c>
      <c r="I114" s="84">
        <v>45078.0</v>
      </c>
      <c r="J114" s="88"/>
      <c r="K114" s="86">
        <v>46174.0</v>
      </c>
      <c r="L114" s="49">
        <v>3.0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83" t="s">
        <v>1135</v>
      </c>
      <c r="B115" s="49" t="s">
        <v>1754</v>
      </c>
      <c r="C115" s="49" t="s">
        <v>1963</v>
      </c>
      <c r="D115" s="49" t="s">
        <v>84</v>
      </c>
      <c r="E115" s="49" t="s">
        <v>21</v>
      </c>
      <c r="F115" s="49" t="s">
        <v>1675</v>
      </c>
      <c r="G115" s="49">
        <v>3.0</v>
      </c>
      <c r="H115" s="49" t="s">
        <v>224</v>
      </c>
      <c r="I115" s="84">
        <v>45078.0</v>
      </c>
      <c r="J115" s="88"/>
      <c r="K115" s="86">
        <v>46174.0</v>
      </c>
      <c r="L115" s="49">
        <v>3.0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83" t="s">
        <v>1964</v>
      </c>
      <c r="B116" s="49" t="s">
        <v>725</v>
      </c>
      <c r="C116" s="61"/>
      <c r="D116" s="61"/>
      <c r="E116" s="49" t="s">
        <v>21</v>
      </c>
      <c r="F116" s="49" t="s">
        <v>119</v>
      </c>
      <c r="G116" s="61"/>
      <c r="H116" s="61"/>
      <c r="I116" s="84">
        <v>44348.0</v>
      </c>
      <c r="J116" s="86">
        <v>46388.0</v>
      </c>
      <c r="K116" s="86">
        <v>47635.0</v>
      </c>
      <c r="L116" s="49">
        <v>4.0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83" t="s">
        <v>828</v>
      </c>
      <c r="B117" s="49" t="s">
        <v>1840</v>
      </c>
      <c r="C117" s="49" t="s">
        <v>1965</v>
      </c>
      <c r="D117" s="49" t="s">
        <v>137</v>
      </c>
      <c r="E117" s="49" t="s">
        <v>21</v>
      </c>
      <c r="F117" s="49" t="s">
        <v>1838</v>
      </c>
      <c r="G117" s="49">
        <v>3.0</v>
      </c>
      <c r="H117" s="49" t="s">
        <v>206</v>
      </c>
      <c r="I117" s="84">
        <v>45078.0</v>
      </c>
      <c r="J117" s="89"/>
      <c r="K117" s="86">
        <v>46174.0</v>
      </c>
      <c r="L117" s="49">
        <v>3.0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83" t="s">
        <v>1966</v>
      </c>
      <c r="B118" s="49" t="s">
        <v>1861</v>
      </c>
      <c r="C118" s="49" t="s">
        <v>1967</v>
      </c>
      <c r="D118" s="49" t="s">
        <v>163</v>
      </c>
      <c r="E118" s="49" t="s">
        <v>21</v>
      </c>
      <c r="F118" s="49" t="s">
        <v>1670</v>
      </c>
      <c r="G118" s="49">
        <v>3.0</v>
      </c>
      <c r="H118" s="49" t="s">
        <v>224</v>
      </c>
      <c r="I118" s="84">
        <v>45078.0</v>
      </c>
      <c r="J118" s="88"/>
      <c r="K118" s="86">
        <v>46174.0</v>
      </c>
      <c r="L118" s="49">
        <v>3.0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83" t="s">
        <v>1968</v>
      </c>
      <c r="B119" s="49" t="s">
        <v>1969</v>
      </c>
      <c r="C119" s="49" t="s">
        <v>1970</v>
      </c>
      <c r="D119" s="49" t="s">
        <v>65</v>
      </c>
      <c r="E119" s="49" t="s">
        <v>21</v>
      </c>
      <c r="F119" s="49" t="s">
        <v>1909</v>
      </c>
      <c r="G119" s="49" t="s">
        <v>85</v>
      </c>
      <c r="H119" s="49" t="s">
        <v>1673</v>
      </c>
      <c r="I119" s="84">
        <v>45444.0</v>
      </c>
      <c r="J119" s="86">
        <v>46539.0</v>
      </c>
      <c r="K119" s="86">
        <v>47635.0</v>
      </c>
      <c r="L119" s="49">
        <v>4.0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83" t="s">
        <v>1971</v>
      </c>
      <c r="B120" s="49" t="s">
        <v>1840</v>
      </c>
      <c r="C120" s="49" t="s">
        <v>1972</v>
      </c>
      <c r="D120" s="49" t="s">
        <v>266</v>
      </c>
      <c r="E120" s="49" t="s">
        <v>21</v>
      </c>
      <c r="F120" s="49" t="s">
        <v>1973</v>
      </c>
      <c r="G120" s="49" t="s">
        <v>29</v>
      </c>
      <c r="H120" s="49" t="s">
        <v>36</v>
      </c>
      <c r="I120" s="84">
        <v>45078.0</v>
      </c>
      <c r="J120" s="86">
        <v>46539.0</v>
      </c>
      <c r="K120" s="86">
        <v>47635.0</v>
      </c>
      <c r="L120" s="49">
        <v>4.0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83" t="s">
        <v>1974</v>
      </c>
      <c r="B121" s="49" t="s">
        <v>1975</v>
      </c>
      <c r="C121" s="49" t="s">
        <v>317</v>
      </c>
      <c r="D121" s="49" t="s">
        <v>266</v>
      </c>
      <c r="E121" s="49" t="s">
        <v>21</v>
      </c>
      <c r="F121" s="49" t="s">
        <v>1680</v>
      </c>
      <c r="G121" s="49" t="s">
        <v>79</v>
      </c>
      <c r="H121" s="49" t="s">
        <v>1681</v>
      </c>
      <c r="I121" s="84">
        <v>44713.0</v>
      </c>
      <c r="J121" s="88"/>
      <c r="K121" s="86">
        <v>45809.0</v>
      </c>
      <c r="L121" s="49">
        <v>3.0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47" t="s">
        <v>1976</v>
      </c>
      <c r="B122" s="48" t="s">
        <v>1977</v>
      </c>
      <c r="C122" s="48" t="s">
        <v>1510</v>
      </c>
      <c r="D122" s="48" t="s">
        <v>128</v>
      </c>
      <c r="E122" s="49" t="s">
        <v>21</v>
      </c>
      <c r="F122" s="48" t="s">
        <v>1724</v>
      </c>
      <c r="G122" s="48" t="s">
        <v>79</v>
      </c>
      <c r="H122" s="48" t="s">
        <v>1673</v>
      </c>
      <c r="I122" s="84">
        <v>45444.0</v>
      </c>
      <c r="J122" s="88"/>
      <c r="K122" s="86">
        <v>46539.0</v>
      </c>
      <c r="L122" s="49">
        <v>3.0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83" t="s">
        <v>1978</v>
      </c>
      <c r="B123" s="49" t="s">
        <v>1979</v>
      </c>
      <c r="C123" s="49" t="s">
        <v>1980</v>
      </c>
      <c r="D123" s="49" t="s">
        <v>46</v>
      </c>
      <c r="E123" s="49" t="s">
        <v>21</v>
      </c>
      <c r="F123" s="49" t="s">
        <v>1690</v>
      </c>
      <c r="G123" s="49" t="s">
        <v>85</v>
      </c>
      <c r="H123" s="49" t="s">
        <v>1681</v>
      </c>
      <c r="I123" s="84">
        <v>44713.0</v>
      </c>
      <c r="J123" s="88"/>
      <c r="K123" s="86">
        <v>45809.0</v>
      </c>
      <c r="L123" s="49">
        <v>3.0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47" t="s">
        <v>902</v>
      </c>
      <c r="B124" s="48" t="s">
        <v>1981</v>
      </c>
      <c r="C124" s="48" t="s">
        <v>1982</v>
      </c>
      <c r="D124" s="48" t="s">
        <v>266</v>
      </c>
      <c r="E124" s="48" t="s">
        <v>21</v>
      </c>
      <c r="F124" s="48" t="s">
        <v>1675</v>
      </c>
      <c r="G124" s="48" t="s">
        <v>85</v>
      </c>
      <c r="H124" s="48" t="s">
        <v>1892</v>
      </c>
      <c r="I124" s="84">
        <v>45444.0</v>
      </c>
      <c r="J124" s="88"/>
      <c r="K124" s="86">
        <v>46539.0</v>
      </c>
      <c r="L124" s="49">
        <v>3.0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83" t="s">
        <v>1180</v>
      </c>
      <c r="B125" s="49" t="s">
        <v>1983</v>
      </c>
      <c r="C125" s="49" t="s">
        <v>205</v>
      </c>
      <c r="D125" s="49" t="s">
        <v>137</v>
      </c>
      <c r="E125" s="49" t="s">
        <v>21</v>
      </c>
      <c r="F125" s="49" t="s">
        <v>1675</v>
      </c>
      <c r="G125" s="49" t="s">
        <v>79</v>
      </c>
      <c r="H125" s="49" t="s">
        <v>1714</v>
      </c>
      <c r="I125" s="84">
        <v>45444.0</v>
      </c>
      <c r="J125" s="88"/>
      <c r="K125" s="86">
        <v>46539.0</v>
      </c>
      <c r="L125" s="49">
        <v>3.0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83" t="s">
        <v>1984</v>
      </c>
      <c r="B126" s="49" t="s">
        <v>1936</v>
      </c>
      <c r="C126" s="61"/>
      <c r="D126" s="61"/>
      <c r="E126" s="49" t="s">
        <v>21</v>
      </c>
      <c r="F126" s="61"/>
      <c r="G126" s="61"/>
      <c r="H126" s="49" t="s">
        <v>188</v>
      </c>
      <c r="I126" s="84">
        <v>44348.0</v>
      </c>
      <c r="J126" s="88"/>
      <c r="K126" s="86">
        <v>46539.0</v>
      </c>
      <c r="L126" s="49">
        <v>3.0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83" t="s">
        <v>1985</v>
      </c>
      <c r="B127" s="49" t="s">
        <v>1986</v>
      </c>
      <c r="C127" s="49" t="s">
        <v>611</v>
      </c>
      <c r="D127" s="49" t="s">
        <v>65</v>
      </c>
      <c r="E127" s="49" t="s">
        <v>21</v>
      </c>
      <c r="F127" s="49" t="s">
        <v>1909</v>
      </c>
      <c r="G127" s="49">
        <v>2.0</v>
      </c>
      <c r="H127" s="49" t="s">
        <v>48</v>
      </c>
      <c r="I127" s="84">
        <v>45078.0</v>
      </c>
      <c r="J127" s="86">
        <v>46174.0</v>
      </c>
      <c r="K127" s="86">
        <v>47270.0</v>
      </c>
      <c r="L127" s="49">
        <v>4.0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83" t="s">
        <v>1987</v>
      </c>
      <c r="B128" s="49" t="s">
        <v>1988</v>
      </c>
      <c r="C128" s="49" t="s">
        <v>1989</v>
      </c>
      <c r="D128" s="49" t="s">
        <v>1990</v>
      </c>
      <c r="E128" s="49" t="s">
        <v>21</v>
      </c>
      <c r="F128" s="49" t="s">
        <v>1953</v>
      </c>
      <c r="G128" s="49" t="s">
        <v>97</v>
      </c>
      <c r="H128" s="49" t="s">
        <v>1991</v>
      </c>
      <c r="I128" s="84">
        <v>45444.0</v>
      </c>
      <c r="J128" s="86">
        <v>46539.0</v>
      </c>
      <c r="K128" s="86">
        <v>47635.0</v>
      </c>
      <c r="L128" s="49">
        <v>4.0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83" t="s">
        <v>1992</v>
      </c>
      <c r="B129" s="49" t="s">
        <v>1993</v>
      </c>
      <c r="C129" s="49" t="s">
        <v>1994</v>
      </c>
      <c r="D129" s="49" t="s">
        <v>65</v>
      </c>
      <c r="E129" s="49" t="s">
        <v>21</v>
      </c>
      <c r="F129" s="49" t="s">
        <v>1680</v>
      </c>
      <c r="G129" s="49" t="s">
        <v>79</v>
      </c>
      <c r="H129" s="49" t="s">
        <v>1782</v>
      </c>
      <c r="I129" s="84">
        <v>44713.0</v>
      </c>
      <c r="J129" s="88"/>
      <c r="K129" s="86">
        <v>45809.0</v>
      </c>
      <c r="L129" s="49">
        <v>3.0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47" t="s">
        <v>1995</v>
      </c>
      <c r="B130" s="48" t="s">
        <v>1996</v>
      </c>
      <c r="C130" s="60"/>
      <c r="D130" s="60"/>
      <c r="E130" s="49" t="s">
        <v>701</v>
      </c>
      <c r="F130" s="48" t="s">
        <v>1997</v>
      </c>
      <c r="G130" s="48" t="s">
        <v>97</v>
      </c>
      <c r="H130" s="48" t="s">
        <v>1673</v>
      </c>
      <c r="I130" s="84">
        <v>45444.0</v>
      </c>
      <c r="J130" s="86">
        <v>46539.0</v>
      </c>
      <c r="K130" s="86">
        <v>47635.0</v>
      </c>
      <c r="L130" s="49">
        <v>4.0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83" t="s">
        <v>930</v>
      </c>
      <c r="B131" s="49" t="s">
        <v>1998</v>
      </c>
      <c r="C131" s="49" t="s">
        <v>305</v>
      </c>
      <c r="D131" s="49" t="s">
        <v>305</v>
      </c>
      <c r="E131" s="49" t="s">
        <v>305</v>
      </c>
      <c r="F131" s="49" t="s">
        <v>119</v>
      </c>
      <c r="G131" s="61"/>
      <c r="H131" s="61"/>
      <c r="I131" s="84">
        <v>43132.0</v>
      </c>
      <c r="J131" s="86">
        <v>46539.0</v>
      </c>
      <c r="K131" s="86">
        <v>47635.0</v>
      </c>
      <c r="L131" s="49">
        <v>4.0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83" t="s">
        <v>930</v>
      </c>
      <c r="B132" s="49" t="s">
        <v>1999</v>
      </c>
      <c r="C132" s="61"/>
      <c r="D132" s="61"/>
      <c r="E132" s="61"/>
      <c r="F132" s="49" t="s">
        <v>119</v>
      </c>
      <c r="G132" s="61"/>
      <c r="H132" s="61"/>
      <c r="I132" s="84">
        <v>43132.0</v>
      </c>
      <c r="J132" s="86">
        <v>46539.0</v>
      </c>
      <c r="K132" s="86">
        <v>47635.0</v>
      </c>
      <c r="L132" s="49">
        <v>3.0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83" t="s">
        <v>2000</v>
      </c>
      <c r="B133" s="49" t="s">
        <v>2001</v>
      </c>
      <c r="C133" s="49" t="s">
        <v>2002</v>
      </c>
      <c r="D133" s="49" t="s">
        <v>266</v>
      </c>
      <c r="E133" s="49" t="s">
        <v>21</v>
      </c>
      <c r="F133" s="49" t="s">
        <v>2003</v>
      </c>
      <c r="G133" s="49" t="s">
        <v>35</v>
      </c>
      <c r="H133" s="49" t="s">
        <v>36</v>
      </c>
      <c r="I133" s="84">
        <v>45444.0</v>
      </c>
      <c r="J133" s="86">
        <v>46539.0</v>
      </c>
      <c r="K133" s="86">
        <v>47635.0</v>
      </c>
      <c r="L133" s="49">
        <v>4.0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83" t="s">
        <v>2000</v>
      </c>
      <c r="B134" s="49" t="s">
        <v>2004</v>
      </c>
      <c r="C134" s="49" t="s">
        <v>2005</v>
      </c>
      <c r="D134" s="49" t="s">
        <v>128</v>
      </c>
      <c r="E134" s="49" t="s">
        <v>21</v>
      </c>
      <c r="F134" s="49" t="s">
        <v>119</v>
      </c>
      <c r="G134" s="61"/>
      <c r="H134" s="61"/>
      <c r="I134" s="84">
        <v>45444.0</v>
      </c>
      <c r="J134" s="86">
        <v>46539.0</v>
      </c>
      <c r="K134" s="86">
        <v>47635.0</v>
      </c>
      <c r="L134" s="49">
        <v>4.0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83" t="s">
        <v>949</v>
      </c>
      <c r="B135" s="49" t="s">
        <v>2006</v>
      </c>
      <c r="C135" s="49" t="s">
        <v>2007</v>
      </c>
      <c r="D135" s="49" t="s">
        <v>102</v>
      </c>
      <c r="E135" s="49" t="s">
        <v>21</v>
      </c>
      <c r="F135" s="49" t="s">
        <v>1684</v>
      </c>
      <c r="G135" s="49" t="s">
        <v>35</v>
      </c>
      <c r="H135" s="49" t="s">
        <v>124</v>
      </c>
      <c r="I135" s="84">
        <v>43617.0</v>
      </c>
      <c r="J135" s="88"/>
      <c r="K135" s="86">
        <v>45809.0</v>
      </c>
      <c r="L135" s="49">
        <v>3.0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83" t="s">
        <v>949</v>
      </c>
      <c r="B136" s="49" t="s">
        <v>2008</v>
      </c>
      <c r="C136" s="49" t="s">
        <v>2009</v>
      </c>
      <c r="D136" s="49" t="s">
        <v>46</v>
      </c>
      <c r="E136" s="49" t="s">
        <v>21</v>
      </c>
      <c r="F136" s="49" t="s">
        <v>2010</v>
      </c>
      <c r="G136" s="49" t="s">
        <v>35</v>
      </c>
      <c r="H136" s="49" t="s">
        <v>124</v>
      </c>
      <c r="I136" s="84">
        <v>43617.0</v>
      </c>
      <c r="J136" s="89"/>
      <c r="K136" s="86">
        <v>45809.0</v>
      </c>
      <c r="L136" s="49">
        <v>3.0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83" t="s">
        <v>956</v>
      </c>
      <c r="B137" s="49" t="s">
        <v>2011</v>
      </c>
      <c r="C137" s="49" t="s">
        <v>390</v>
      </c>
      <c r="D137" s="49" t="s">
        <v>102</v>
      </c>
      <c r="E137" s="49" t="s">
        <v>21</v>
      </c>
      <c r="F137" s="49" t="s">
        <v>2012</v>
      </c>
      <c r="G137" s="49">
        <v>3.0</v>
      </c>
      <c r="H137" s="49" t="s">
        <v>48</v>
      </c>
      <c r="I137" s="84">
        <v>45078.0</v>
      </c>
      <c r="J137" s="86">
        <v>46174.0</v>
      </c>
      <c r="K137" s="86">
        <v>47270.0</v>
      </c>
      <c r="L137" s="49">
        <v>4.0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47" t="s">
        <v>963</v>
      </c>
      <c r="B138" s="48" t="s">
        <v>1901</v>
      </c>
      <c r="C138" s="48" t="s">
        <v>2013</v>
      </c>
      <c r="D138" s="48" t="s">
        <v>137</v>
      </c>
      <c r="E138" s="49" t="s">
        <v>21</v>
      </c>
      <c r="F138" s="48" t="s">
        <v>1724</v>
      </c>
      <c r="G138" s="48" t="s">
        <v>85</v>
      </c>
      <c r="H138" s="48" t="s">
        <v>1673</v>
      </c>
      <c r="I138" s="84">
        <v>45444.0</v>
      </c>
      <c r="J138" s="88"/>
      <c r="K138" s="86">
        <v>46539.0</v>
      </c>
      <c r="L138" s="49">
        <v>3.0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83" t="s">
        <v>2014</v>
      </c>
      <c r="B139" s="49" t="s">
        <v>1754</v>
      </c>
      <c r="C139" s="49" t="s">
        <v>278</v>
      </c>
      <c r="D139" s="49" t="s">
        <v>266</v>
      </c>
      <c r="E139" s="49" t="s">
        <v>21</v>
      </c>
      <c r="F139" s="49" t="s">
        <v>1838</v>
      </c>
      <c r="G139" s="49">
        <v>2.0</v>
      </c>
      <c r="H139" s="49" t="s">
        <v>279</v>
      </c>
      <c r="I139" s="84">
        <v>45078.0</v>
      </c>
      <c r="J139" s="89"/>
      <c r="K139" s="86">
        <v>46174.0</v>
      </c>
      <c r="L139" s="49">
        <v>3.0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83" t="s">
        <v>2014</v>
      </c>
      <c r="B140" s="49" t="s">
        <v>2015</v>
      </c>
      <c r="C140" s="49" t="s">
        <v>278</v>
      </c>
      <c r="D140" s="49" t="s">
        <v>266</v>
      </c>
      <c r="E140" s="49" t="s">
        <v>21</v>
      </c>
      <c r="F140" s="49" t="s">
        <v>1675</v>
      </c>
      <c r="G140" s="49">
        <v>3.0</v>
      </c>
      <c r="H140" s="49" t="s">
        <v>279</v>
      </c>
      <c r="I140" s="84">
        <v>45078.0</v>
      </c>
      <c r="J140" s="89"/>
      <c r="K140" s="86">
        <v>46174.0</v>
      </c>
      <c r="L140" s="49">
        <v>3.0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83" t="s">
        <v>2016</v>
      </c>
      <c r="B141" s="49" t="s">
        <v>2017</v>
      </c>
      <c r="C141" s="49" t="s">
        <v>1653</v>
      </c>
      <c r="D141" s="49" t="s">
        <v>27</v>
      </c>
      <c r="E141" s="49" t="s">
        <v>21</v>
      </c>
      <c r="F141" s="49" t="s">
        <v>1022</v>
      </c>
      <c r="G141" s="49" t="s">
        <v>2018</v>
      </c>
      <c r="H141" s="49" t="s">
        <v>30</v>
      </c>
      <c r="I141" s="84">
        <v>41339.0</v>
      </c>
      <c r="J141" s="89"/>
      <c r="K141" s="86">
        <v>45809.0</v>
      </c>
      <c r="L141" s="49">
        <v>3.0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83" t="s">
        <v>2019</v>
      </c>
      <c r="B142" s="49" t="s">
        <v>1947</v>
      </c>
      <c r="C142" s="49" t="s">
        <v>2020</v>
      </c>
      <c r="D142" s="49" t="s">
        <v>430</v>
      </c>
      <c r="E142" s="49" t="s">
        <v>21</v>
      </c>
      <c r="F142" s="61"/>
      <c r="G142" s="61"/>
      <c r="H142" s="49" t="s">
        <v>188</v>
      </c>
      <c r="I142" s="84">
        <v>44348.0</v>
      </c>
      <c r="J142" s="88"/>
      <c r="K142" s="86">
        <v>46539.0</v>
      </c>
      <c r="L142" s="49">
        <v>3.0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83" t="s">
        <v>2021</v>
      </c>
      <c r="B143" s="49" t="s">
        <v>2022</v>
      </c>
      <c r="C143" s="49" t="s">
        <v>317</v>
      </c>
      <c r="D143" s="49" t="s">
        <v>266</v>
      </c>
      <c r="E143" s="49" t="s">
        <v>21</v>
      </c>
      <c r="F143" s="49" t="s">
        <v>1670</v>
      </c>
      <c r="G143" s="49">
        <v>2.0</v>
      </c>
      <c r="H143" s="49" t="s">
        <v>279</v>
      </c>
      <c r="I143" s="84">
        <v>45078.0</v>
      </c>
      <c r="J143" s="88"/>
      <c r="K143" s="86">
        <v>46174.0</v>
      </c>
      <c r="L143" s="49">
        <v>3.0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83" t="s">
        <v>2023</v>
      </c>
      <c r="B144" s="49" t="s">
        <v>2024</v>
      </c>
      <c r="C144" s="49" t="s">
        <v>2025</v>
      </c>
      <c r="D144" s="49" t="s">
        <v>137</v>
      </c>
      <c r="E144" s="49" t="s">
        <v>21</v>
      </c>
      <c r="F144" s="49" t="s">
        <v>119</v>
      </c>
      <c r="G144" s="61"/>
      <c r="H144" s="61"/>
      <c r="I144" s="84">
        <v>44348.0</v>
      </c>
      <c r="J144" s="86">
        <v>46388.0</v>
      </c>
      <c r="K144" s="86">
        <v>47635.0</v>
      </c>
      <c r="L144" s="49">
        <v>4.0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83" t="s">
        <v>989</v>
      </c>
      <c r="B145" s="49" t="s">
        <v>2026</v>
      </c>
      <c r="C145" s="49" t="s">
        <v>2027</v>
      </c>
      <c r="D145" s="49" t="s">
        <v>46</v>
      </c>
      <c r="E145" s="49" t="s">
        <v>21</v>
      </c>
      <c r="F145" s="49" t="s">
        <v>1724</v>
      </c>
      <c r="G145" s="49">
        <v>1.0</v>
      </c>
      <c r="H145" s="49" t="s">
        <v>48</v>
      </c>
      <c r="I145" s="84">
        <v>45078.0</v>
      </c>
      <c r="J145" s="89"/>
      <c r="K145" s="86">
        <v>46174.0</v>
      </c>
      <c r="L145" s="49">
        <v>3.0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83" t="s">
        <v>989</v>
      </c>
      <c r="B146" s="49" t="s">
        <v>2028</v>
      </c>
      <c r="C146" s="49" t="s">
        <v>2029</v>
      </c>
      <c r="D146" s="49" t="s">
        <v>521</v>
      </c>
      <c r="E146" s="49" t="s">
        <v>21</v>
      </c>
      <c r="F146" s="49" t="s">
        <v>1724</v>
      </c>
      <c r="G146" s="49">
        <v>4.0</v>
      </c>
      <c r="H146" s="49" t="s">
        <v>48</v>
      </c>
      <c r="I146" s="84">
        <v>45078.0</v>
      </c>
      <c r="J146" s="89"/>
      <c r="K146" s="86">
        <v>46174.0</v>
      </c>
      <c r="L146" s="49">
        <v>3.0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83" t="s">
        <v>2030</v>
      </c>
      <c r="B147" s="49" t="s">
        <v>976</v>
      </c>
      <c r="C147" s="49" t="s">
        <v>1929</v>
      </c>
      <c r="D147" s="49" t="s">
        <v>71</v>
      </c>
      <c r="E147" s="49" t="s">
        <v>21</v>
      </c>
      <c r="F147" s="49" t="s">
        <v>2031</v>
      </c>
      <c r="G147" s="49" t="s">
        <v>85</v>
      </c>
      <c r="H147" s="49" t="s">
        <v>98</v>
      </c>
      <c r="I147" s="84">
        <v>44713.0</v>
      </c>
      <c r="J147" s="86">
        <v>45809.0</v>
      </c>
      <c r="K147" s="86">
        <v>46905.0</v>
      </c>
      <c r="L147" s="49">
        <v>4.0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83" t="s">
        <v>2032</v>
      </c>
      <c r="B148" s="49" t="s">
        <v>2033</v>
      </c>
      <c r="C148" s="49" t="s">
        <v>2034</v>
      </c>
      <c r="D148" s="49" t="s">
        <v>200</v>
      </c>
      <c r="E148" s="49" t="s">
        <v>21</v>
      </c>
      <c r="F148" s="61"/>
      <c r="G148" s="61"/>
      <c r="H148" s="49" t="s">
        <v>188</v>
      </c>
      <c r="I148" s="84">
        <v>44348.0</v>
      </c>
      <c r="J148" s="88"/>
      <c r="K148" s="86">
        <v>46539.0</v>
      </c>
      <c r="L148" s="49">
        <v>3.0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83" t="s">
        <v>2035</v>
      </c>
      <c r="B149" s="49" t="s">
        <v>2036</v>
      </c>
      <c r="C149" s="49" t="s">
        <v>240</v>
      </c>
      <c r="D149" s="49" t="s">
        <v>234</v>
      </c>
      <c r="E149" s="49" t="s">
        <v>21</v>
      </c>
      <c r="F149" s="49" t="s">
        <v>1690</v>
      </c>
      <c r="G149" s="49" t="s">
        <v>85</v>
      </c>
      <c r="H149" s="49" t="s">
        <v>1791</v>
      </c>
      <c r="I149" s="84">
        <v>45444.0</v>
      </c>
      <c r="J149" s="88"/>
      <c r="K149" s="86">
        <v>46539.0</v>
      </c>
      <c r="L149" s="49">
        <v>3.0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83" t="s">
        <v>2037</v>
      </c>
      <c r="B150" s="49" t="s">
        <v>2038</v>
      </c>
      <c r="C150" s="49" t="s">
        <v>390</v>
      </c>
      <c r="D150" s="49" t="s">
        <v>102</v>
      </c>
      <c r="E150" s="49" t="s">
        <v>21</v>
      </c>
      <c r="F150" s="49" t="s">
        <v>40</v>
      </c>
      <c r="G150" s="49" t="s">
        <v>97</v>
      </c>
      <c r="H150" s="49" t="s">
        <v>98</v>
      </c>
      <c r="I150" s="84">
        <v>44713.0</v>
      </c>
      <c r="J150" s="89"/>
      <c r="K150" s="86">
        <v>45809.0</v>
      </c>
      <c r="L150" s="49">
        <v>3.0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47" t="s">
        <v>2039</v>
      </c>
      <c r="B151" s="48" t="s">
        <v>2040</v>
      </c>
      <c r="C151" s="48" t="s">
        <v>61</v>
      </c>
      <c r="D151" s="48" t="s">
        <v>27</v>
      </c>
      <c r="E151" s="48" t="s">
        <v>21</v>
      </c>
      <c r="F151" s="48" t="s">
        <v>1806</v>
      </c>
      <c r="G151" s="48" t="s">
        <v>85</v>
      </c>
      <c r="H151" s="48" t="s">
        <v>1791</v>
      </c>
      <c r="I151" s="84">
        <v>45444.0</v>
      </c>
      <c r="J151" s="88"/>
      <c r="K151" s="86">
        <v>46539.0</v>
      </c>
      <c r="L151" s="49">
        <v>3.0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83" t="s">
        <v>2041</v>
      </c>
      <c r="B152" s="49" t="s">
        <v>1766</v>
      </c>
      <c r="C152" s="49" t="s">
        <v>251</v>
      </c>
      <c r="D152" s="49" t="s">
        <v>266</v>
      </c>
      <c r="E152" s="49" t="s">
        <v>21</v>
      </c>
      <c r="F152" s="49" t="s">
        <v>1721</v>
      </c>
      <c r="G152" s="49">
        <v>4.0</v>
      </c>
      <c r="H152" s="49" t="s">
        <v>48</v>
      </c>
      <c r="I152" s="84">
        <v>45078.0</v>
      </c>
      <c r="J152" s="88"/>
      <c r="K152" s="86">
        <v>46174.0</v>
      </c>
      <c r="L152" s="49">
        <v>3.0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83" t="s">
        <v>2042</v>
      </c>
      <c r="B153" s="49" t="s">
        <v>2043</v>
      </c>
      <c r="C153" s="49" t="s">
        <v>2044</v>
      </c>
      <c r="D153" s="49" t="s">
        <v>851</v>
      </c>
      <c r="E153" s="49" t="s">
        <v>21</v>
      </c>
      <c r="F153" s="49" t="s">
        <v>2045</v>
      </c>
      <c r="G153" s="49" t="s">
        <v>391</v>
      </c>
      <c r="H153" s="49" t="s">
        <v>124</v>
      </c>
      <c r="I153" s="84">
        <v>43617.0</v>
      </c>
      <c r="J153" s="88"/>
      <c r="K153" s="86">
        <v>45809.0</v>
      </c>
      <c r="L153" s="49">
        <v>3.0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83" t="s">
        <v>2046</v>
      </c>
      <c r="B154" s="49" t="s">
        <v>501</v>
      </c>
      <c r="C154" s="49" t="s">
        <v>205</v>
      </c>
      <c r="D154" s="49" t="s">
        <v>137</v>
      </c>
      <c r="E154" s="49" t="s">
        <v>21</v>
      </c>
      <c r="F154" s="49" t="s">
        <v>1690</v>
      </c>
      <c r="G154" s="49" t="s">
        <v>85</v>
      </c>
      <c r="H154" s="49" t="s">
        <v>1791</v>
      </c>
      <c r="I154" s="84">
        <v>45444.0</v>
      </c>
      <c r="J154" s="89"/>
      <c r="K154" s="86">
        <v>46539.0</v>
      </c>
      <c r="L154" s="49">
        <v>3.0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47" t="s">
        <v>1080</v>
      </c>
      <c r="B155" s="48" t="s">
        <v>1797</v>
      </c>
      <c r="C155" s="48" t="s">
        <v>356</v>
      </c>
      <c r="D155" s="48" t="s">
        <v>137</v>
      </c>
      <c r="E155" s="48" t="s">
        <v>21</v>
      </c>
      <c r="F155" s="48" t="s">
        <v>1666</v>
      </c>
      <c r="G155" s="48" t="s">
        <v>85</v>
      </c>
      <c r="H155" s="48" t="s">
        <v>1714</v>
      </c>
      <c r="I155" s="84">
        <v>45444.0</v>
      </c>
      <c r="J155" s="88"/>
      <c r="K155" s="86">
        <v>46539.0</v>
      </c>
      <c r="L155" s="49">
        <v>3.0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83" t="s">
        <v>1080</v>
      </c>
      <c r="B156" s="49" t="s">
        <v>2047</v>
      </c>
      <c r="C156" s="49" t="s">
        <v>2048</v>
      </c>
      <c r="D156" s="49" t="s">
        <v>20</v>
      </c>
      <c r="E156" s="49" t="s">
        <v>21</v>
      </c>
      <c r="F156" s="49" t="s">
        <v>1680</v>
      </c>
      <c r="G156" s="49" t="s">
        <v>85</v>
      </c>
      <c r="H156" s="49" t="s">
        <v>1676</v>
      </c>
      <c r="I156" s="84">
        <v>45444.0</v>
      </c>
      <c r="J156" s="89"/>
      <c r="K156" s="86">
        <v>46539.0</v>
      </c>
      <c r="L156" s="49">
        <v>3.0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47" t="s">
        <v>1080</v>
      </c>
      <c r="B157" s="48" t="s">
        <v>2049</v>
      </c>
      <c r="C157" s="48" t="s">
        <v>1033</v>
      </c>
      <c r="D157" s="48" t="s">
        <v>20</v>
      </c>
      <c r="E157" s="48" t="s">
        <v>21</v>
      </c>
      <c r="F157" s="48" t="s">
        <v>1666</v>
      </c>
      <c r="G157" s="48" t="s">
        <v>85</v>
      </c>
      <c r="H157" s="48" t="s">
        <v>1676</v>
      </c>
      <c r="I157" s="84">
        <v>45444.0</v>
      </c>
      <c r="J157" s="89"/>
      <c r="K157" s="86">
        <v>46539.0</v>
      </c>
      <c r="L157" s="49">
        <v>3.0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47" t="s">
        <v>1080</v>
      </c>
      <c r="B158" s="48" t="s">
        <v>2050</v>
      </c>
      <c r="C158" s="48" t="s">
        <v>2051</v>
      </c>
      <c r="D158" s="48" t="s">
        <v>163</v>
      </c>
      <c r="E158" s="49" t="s">
        <v>21</v>
      </c>
      <c r="F158" s="48" t="s">
        <v>1885</v>
      </c>
      <c r="G158" s="48" t="s">
        <v>41</v>
      </c>
      <c r="H158" s="48" t="s">
        <v>1673</v>
      </c>
      <c r="I158" s="84">
        <v>45444.0</v>
      </c>
      <c r="J158" s="88"/>
      <c r="K158" s="86">
        <v>46539.0</v>
      </c>
      <c r="L158" s="49">
        <v>3.0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83" t="s">
        <v>2052</v>
      </c>
      <c r="B159" s="49" t="s">
        <v>2053</v>
      </c>
      <c r="C159" s="49" t="s">
        <v>2054</v>
      </c>
      <c r="D159" s="49" t="s">
        <v>266</v>
      </c>
      <c r="E159" s="49" t="s">
        <v>21</v>
      </c>
      <c r="F159" s="49" t="s">
        <v>2031</v>
      </c>
      <c r="G159" s="49" t="s">
        <v>79</v>
      </c>
      <c r="H159" s="49" t="s">
        <v>98</v>
      </c>
      <c r="I159" s="84">
        <v>44713.0</v>
      </c>
      <c r="J159" s="86">
        <v>45809.0</v>
      </c>
      <c r="K159" s="86">
        <v>46905.0</v>
      </c>
      <c r="L159" s="49">
        <v>4.0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47" t="s">
        <v>2055</v>
      </c>
      <c r="B160" s="48" t="s">
        <v>2056</v>
      </c>
      <c r="C160" s="48" t="s">
        <v>317</v>
      </c>
      <c r="D160" s="48" t="s">
        <v>65</v>
      </c>
      <c r="E160" s="48" t="s">
        <v>21</v>
      </c>
      <c r="F160" s="48" t="s">
        <v>1675</v>
      </c>
      <c r="G160" s="48" t="s">
        <v>85</v>
      </c>
      <c r="H160" s="48" t="s">
        <v>1667</v>
      </c>
      <c r="I160" s="84">
        <v>45444.0</v>
      </c>
      <c r="J160" s="89"/>
      <c r="K160" s="86">
        <v>46539.0</v>
      </c>
      <c r="L160" s="49">
        <v>3.0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83" t="s">
        <v>2057</v>
      </c>
      <c r="B161" s="49" t="s">
        <v>2058</v>
      </c>
      <c r="C161" s="49" t="s">
        <v>2059</v>
      </c>
      <c r="D161" s="49" t="s">
        <v>20</v>
      </c>
      <c r="E161" s="49" t="s">
        <v>21</v>
      </c>
      <c r="F161" s="49" t="s">
        <v>1838</v>
      </c>
      <c r="G161" s="49">
        <v>3.0</v>
      </c>
      <c r="H161" s="49" t="s">
        <v>271</v>
      </c>
      <c r="I161" s="84">
        <v>45078.0</v>
      </c>
      <c r="J161" s="89"/>
      <c r="K161" s="86">
        <v>46174.0</v>
      </c>
      <c r="L161" s="49">
        <v>3.0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83" t="s">
        <v>2060</v>
      </c>
      <c r="B162" s="49" t="s">
        <v>2061</v>
      </c>
      <c r="C162" s="49" t="s">
        <v>1764</v>
      </c>
      <c r="D162" s="49" t="s">
        <v>46</v>
      </c>
      <c r="E162" s="49" t="s">
        <v>21</v>
      </c>
      <c r="F162" s="49" t="s">
        <v>1721</v>
      </c>
      <c r="G162" s="49">
        <v>1.0</v>
      </c>
      <c r="H162" s="49" t="s">
        <v>48</v>
      </c>
      <c r="I162" s="84">
        <v>45078.0</v>
      </c>
      <c r="J162" s="88"/>
      <c r="K162" s="86">
        <v>46174.0</v>
      </c>
      <c r="L162" s="49">
        <v>3.0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83" t="s">
        <v>2062</v>
      </c>
      <c r="B163" s="49" t="s">
        <v>2063</v>
      </c>
      <c r="C163" s="49" t="s">
        <v>611</v>
      </c>
      <c r="D163" s="49" t="s">
        <v>65</v>
      </c>
      <c r="E163" s="49" t="s">
        <v>21</v>
      </c>
      <c r="F163" s="49" t="s">
        <v>1806</v>
      </c>
      <c r="G163" s="49">
        <v>1.0</v>
      </c>
      <c r="H163" s="49" t="s">
        <v>1667</v>
      </c>
      <c r="I163" s="84">
        <v>45444.0</v>
      </c>
      <c r="J163" s="88"/>
      <c r="K163" s="86">
        <v>46539.0</v>
      </c>
      <c r="L163" s="49">
        <v>3.0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47" t="s">
        <v>2062</v>
      </c>
      <c r="B164" s="48" t="s">
        <v>1763</v>
      </c>
      <c r="C164" s="48" t="s">
        <v>1079</v>
      </c>
      <c r="D164" s="48" t="s">
        <v>65</v>
      </c>
      <c r="E164" s="48" t="s">
        <v>21</v>
      </c>
      <c r="F164" s="48" t="s">
        <v>1675</v>
      </c>
      <c r="G164" s="48" t="s">
        <v>79</v>
      </c>
      <c r="H164" s="48" t="s">
        <v>1667</v>
      </c>
      <c r="I164" s="84">
        <v>45444.0</v>
      </c>
      <c r="J164" s="88"/>
      <c r="K164" s="86">
        <v>46539.0</v>
      </c>
      <c r="L164" s="49">
        <v>3.0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83" t="s">
        <v>2064</v>
      </c>
      <c r="B165" s="49" t="s">
        <v>2065</v>
      </c>
      <c r="C165" s="49" t="s">
        <v>1360</v>
      </c>
      <c r="D165" s="49" t="s">
        <v>192</v>
      </c>
      <c r="E165" s="49" t="s">
        <v>21</v>
      </c>
      <c r="F165" s="49" t="s">
        <v>1953</v>
      </c>
      <c r="G165" s="49" t="s">
        <v>85</v>
      </c>
      <c r="H165" s="49" t="s">
        <v>1673</v>
      </c>
      <c r="I165" s="84">
        <v>45444.0</v>
      </c>
      <c r="J165" s="86">
        <v>46539.0</v>
      </c>
      <c r="K165" s="86">
        <v>47635.0</v>
      </c>
      <c r="L165" s="49">
        <v>4.0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83" t="s">
        <v>2066</v>
      </c>
      <c r="B166" s="49" t="s">
        <v>2067</v>
      </c>
      <c r="C166" s="49" t="s">
        <v>1492</v>
      </c>
      <c r="D166" s="49" t="s">
        <v>137</v>
      </c>
      <c r="E166" s="49" t="s">
        <v>21</v>
      </c>
      <c r="F166" s="49" t="s">
        <v>1690</v>
      </c>
      <c r="G166" s="49" t="s">
        <v>41</v>
      </c>
      <c r="H166" s="49" t="s">
        <v>1681</v>
      </c>
      <c r="I166" s="84">
        <v>42522.0</v>
      </c>
      <c r="J166" s="88"/>
      <c r="K166" s="86">
        <v>45809.0</v>
      </c>
      <c r="L166" s="49">
        <v>3.0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47" t="s">
        <v>2068</v>
      </c>
      <c r="B167" s="48" t="s">
        <v>2069</v>
      </c>
      <c r="C167" s="48" t="s">
        <v>2070</v>
      </c>
      <c r="D167" s="48" t="s">
        <v>27</v>
      </c>
      <c r="E167" s="48" t="s">
        <v>21</v>
      </c>
      <c r="F167" s="48" t="s">
        <v>1675</v>
      </c>
      <c r="G167" s="48" t="s">
        <v>41</v>
      </c>
      <c r="H167" s="48" t="s">
        <v>1718</v>
      </c>
      <c r="I167" s="84">
        <v>45444.0</v>
      </c>
      <c r="J167" s="89"/>
      <c r="K167" s="86">
        <v>46539.0</v>
      </c>
      <c r="L167" s="49">
        <v>3.0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83" t="s">
        <v>2071</v>
      </c>
      <c r="B168" s="49" t="s">
        <v>1830</v>
      </c>
      <c r="C168" s="49" t="s">
        <v>2072</v>
      </c>
      <c r="D168" s="49" t="s">
        <v>46</v>
      </c>
      <c r="E168" s="49" t="s">
        <v>21</v>
      </c>
      <c r="F168" s="49" t="s">
        <v>1801</v>
      </c>
      <c r="G168" s="49" t="s">
        <v>85</v>
      </c>
      <c r="H168" s="49" t="s">
        <v>98</v>
      </c>
      <c r="I168" s="84">
        <v>44713.0</v>
      </c>
      <c r="J168" s="88"/>
      <c r="K168" s="86">
        <v>45809.0</v>
      </c>
      <c r="L168" s="49">
        <v>3.0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83" t="s">
        <v>2073</v>
      </c>
      <c r="B169" s="49" t="s">
        <v>2074</v>
      </c>
      <c r="C169" s="61"/>
      <c r="D169" s="61"/>
      <c r="E169" s="49" t="s">
        <v>21</v>
      </c>
      <c r="F169" s="49" t="s">
        <v>119</v>
      </c>
      <c r="G169" s="61"/>
      <c r="H169" s="61"/>
      <c r="I169" s="84">
        <v>44348.0</v>
      </c>
      <c r="J169" s="86">
        <v>46388.0</v>
      </c>
      <c r="K169" s="86">
        <v>47635.0</v>
      </c>
      <c r="L169" s="49">
        <v>4.0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83" t="s">
        <v>2075</v>
      </c>
      <c r="B170" s="49" t="s">
        <v>2076</v>
      </c>
      <c r="C170" s="49" t="s">
        <v>644</v>
      </c>
      <c r="D170" s="49" t="s">
        <v>305</v>
      </c>
      <c r="E170" s="49" t="s">
        <v>644</v>
      </c>
      <c r="F170" s="49" t="s">
        <v>1997</v>
      </c>
      <c r="G170" s="49" t="s">
        <v>97</v>
      </c>
      <c r="H170" s="49" t="s">
        <v>1673</v>
      </c>
      <c r="I170" s="84">
        <v>45444.0</v>
      </c>
      <c r="J170" s="86">
        <v>46539.0</v>
      </c>
      <c r="K170" s="86">
        <v>47635.0</v>
      </c>
      <c r="L170" s="49">
        <v>4.0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83" t="s">
        <v>2077</v>
      </c>
      <c r="B171" s="49" t="s">
        <v>2078</v>
      </c>
      <c r="C171" s="61"/>
      <c r="D171" s="49" t="s">
        <v>305</v>
      </c>
      <c r="E171" s="49" t="s">
        <v>2079</v>
      </c>
      <c r="F171" s="49" t="s">
        <v>40</v>
      </c>
      <c r="G171" s="49" t="s">
        <v>41</v>
      </c>
      <c r="H171" s="49" t="s">
        <v>1842</v>
      </c>
      <c r="I171" s="84">
        <v>44713.0</v>
      </c>
      <c r="J171" s="88"/>
      <c r="K171" s="86">
        <v>45809.0</v>
      </c>
      <c r="L171" s="49">
        <v>3.0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83" t="s">
        <v>2080</v>
      </c>
      <c r="B172" s="49" t="s">
        <v>2081</v>
      </c>
      <c r="C172" s="49" t="s">
        <v>2082</v>
      </c>
      <c r="D172" s="49" t="s">
        <v>102</v>
      </c>
      <c r="E172" s="49" t="s">
        <v>21</v>
      </c>
      <c r="F172" s="49" t="s">
        <v>1680</v>
      </c>
      <c r="G172" s="49" t="s">
        <v>41</v>
      </c>
      <c r="H172" s="49" t="s">
        <v>1681</v>
      </c>
      <c r="I172" s="84">
        <v>44713.0</v>
      </c>
      <c r="J172" s="89"/>
      <c r="K172" s="86">
        <v>45809.0</v>
      </c>
      <c r="L172" s="49">
        <v>3.0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83" t="s">
        <v>1134</v>
      </c>
      <c r="B173" s="49" t="s">
        <v>2038</v>
      </c>
      <c r="C173" s="49" t="s">
        <v>1812</v>
      </c>
      <c r="D173" s="49" t="s">
        <v>71</v>
      </c>
      <c r="E173" s="49" t="s">
        <v>21</v>
      </c>
      <c r="F173" s="49" t="s">
        <v>1675</v>
      </c>
      <c r="G173" s="49">
        <v>3.0</v>
      </c>
      <c r="H173" s="49" t="s">
        <v>206</v>
      </c>
      <c r="I173" s="84">
        <v>45078.0</v>
      </c>
      <c r="J173" s="89"/>
      <c r="K173" s="86">
        <v>46174.0</v>
      </c>
      <c r="L173" s="49">
        <v>3.0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83" t="s">
        <v>2083</v>
      </c>
      <c r="B174" s="49" t="s">
        <v>2084</v>
      </c>
      <c r="C174" s="49" t="s">
        <v>2085</v>
      </c>
      <c r="D174" s="49" t="s">
        <v>275</v>
      </c>
      <c r="E174" s="49" t="s">
        <v>21</v>
      </c>
      <c r="F174" s="49" t="s">
        <v>2086</v>
      </c>
      <c r="G174" s="49" t="s">
        <v>2087</v>
      </c>
      <c r="H174" s="49" t="s">
        <v>1777</v>
      </c>
      <c r="I174" s="84">
        <v>45078.0</v>
      </c>
      <c r="J174" s="86">
        <v>46174.0</v>
      </c>
      <c r="K174" s="86">
        <v>47270.0</v>
      </c>
      <c r="L174" s="49">
        <v>4.0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83" t="s">
        <v>2088</v>
      </c>
      <c r="B175" s="49" t="s">
        <v>2089</v>
      </c>
      <c r="C175" s="49" t="s">
        <v>2090</v>
      </c>
      <c r="D175" s="49" t="s">
        <v>20</v>
      </c>
      <c r="E175" s="49" t="s">
        <v>21</v>
      </c>
      <c r="F175" s="49" t="s">
        <v>1973</v>
      </c>
      <c r="G175" s="49" t="s">
        <v>35</v>
      </c>
      <c r="H175" s="49" t="s">
        <v>36</v>
      </c>
      <c r="I175" s="84">
        <v>44713.0</v>
      </c>
      <c r="J175" s="86">
        <v>46539.0</v>
      </c>
      <c r="K175" s="86">
        <v>47635.0</v>
      </c>
      <c r="L175" s="49">
        <v>4.0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83" t="s">
        <v>2091</v>
      </c>
      <c r="B176" s="49" t="s">
        <v>2092</v>
      </c>
      <c r="C176" s="49" t="s">
        <v>757</v>
      </c>
      <c r="D176" s="49" t="s">
        <v>57</v>
      </c>
      <c r="E176" s="49" t="s">
        <v>21</v>
      </c>
      <c r="F176" s="49" t="s">
        <v>2093</v>
      </c>
      <c r="G176" s="49" t="s">
        <v>85</v>
      </c>
      <c r="H176" s="49" t="s">
        <v>1743</v>
      </c>
      <c r="I176" s="84">
        <v>44713.0</v>
      </c>
      <c r="J176" s="88"/>
      <c r="K176" s="86">
        <v>45809.0</v>
      </c>
      <c r="L176" s="49">
        <v>3.0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83" t="s">
        <v>2094</v>
      </c>
      <c r="B177" s="49" t="s">
        <v>1961</v>
      </c>
      <c r="C177" s="49" t="s">
        <v>2095</v>
      </c>
      <c r="D177" s="49" t="s">
        <v>107</v>
      </c>
      <c r="E177" s="49" t="s">
        <v>21</v>
      </c>
      <c r="F177" s="49" t="s">
        <v>1953</v>
      </c>
      <c r="G177" s="49" t="s">
        <v>85</v>
      </c>
      <c r="H177" s="49" t="s">
        <v>1673</v>
      </c>
      <c r="I177" s="84">
        <v>45444.0</v>
      </c>
      <c r="J177" s="86">
        <v>46539.0</v>
      </c>
      <c r="K177" s="86">
        <v>47635.0</v>
      </c>
      <c r="L177" s="49">
        <v>4.0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47" t="s">
        <v>2096</v>
      </c>
      <c r="B178" s="48" t="s">
        <v>2097</v>
      </c>
      <c r="C178" s="48" t="s">
        <v>2098</v>
      </c>
      <c r="D178" s="48" t="s">
        <v>163</v>
      </c>
      <c r="E178" s="48" t="s">
        <v>21</v>
      </c>
      <c r="F178" s="48" t="s">
        <v>1806</v>
      </c>
      <c r="G178" s="48" t="s">
        <v>79</v>
      </c>
      <c r="H178" s="48" t="s">
        <v>337</v>
      </c>
      <c r="I178" s="84">
        <v>45444.0</v>
      </c>
      <c r="J178" s="88"/>
      <c r="K178" s="86">
        <v>46539.0</v>
      </c>
      <c r="L178" s="49">
        <v>3.0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47" t="s">
        <v>2099</v>
      </c>
      <c r="B179" s="48" t="s">
        <v>2100</v>
      </c>
      <c r="C179" s="48" t="s">
        <v>2101</v>
      </c>
      <c r="D179" s="48" t="s">
        <v>126</v>
      </c>
      <c r="E179" s="48" t="s">
        <v>21</v>
      </c>
      <c r="F179" s="48" t="s">
        <v>1675</v>
      </c>
      <c r="G179" s="48" t="s">
        <v>85</v>
      </c>
      <c r="H179" s="48" t="s">
        <v>1777</v>
      </c>
      <c r="I179" s="84">
        <v>45444.0</v>
      </c>
      <c r="J179" s="89"/>
      <c r="K179" s="86">
        <v>46539.0</v>
      </c>
      <c r="L179" s="49">
        <v>3.0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83" t="s">
        <v>2102</v>
      </c>
      <c r="B180" s="49" t="s">
        <v>976</v>
      </c>
      <c r="C180" s="49" t="s">
        <v>2103</v>
      </c>
      <c r="D180" s="49" t="s">
        <v>20</v>
      </c>
      <c r="E180" s="49" t="s">
        <v>21</v>
      </c>
      <c r="F180" s="49" t="s">
        <v>1738</v>
      </c>
      <c r="G180" s="49" t="s">
        <v>41</v>
      </c>
      <c r="H180" s="49" t="s">
        <v>98</v>
      </c>
      <c r="I180" s="84">
        <v>44713.0</v>
      </c>
      <c r="J180" s="86">
        <v>45809.0</v>
      </c>
      <c r="K180" s="86">
        <v>46905.0</v>
      </c>
      <c r="L180" s="49">
        <v>4.0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83" t="s">
        <v>2104</v>
      </c>
      <c r="B181" s="49" t="s">
        <v>1689</v>
      </c>
      <c r="C181" s="49" t="s">
        <v>1117</v>
      </c>
      <c r="D181" s="49" t="s">
        <v>2105</v>
      </c>
      <c r="E181" s="49" t="s">
        <v>21</v>
      </c>
      <c r="F181" s="49" t="s">
        <v>2003</v>
      </c>
      <c r="G181" s="49" t="s">
        <v>91</v>
      </c>
      <c r="H181" s="49" t="s">
        <v>36</v>
      </c>
      <c r="I181" s="84">
        <v>45078.0</v>
      </c>
      <c r="J181" s="86">
        <v>46539.0</v>
      </c>
      <c r="K181" s="86">
        <v>47635.0</v>
      </c>
      <c r="L181" s="49">
        <v>4.0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83" t="s">
        <v>2106</v>
      </c>
      <c r="B182" s="49" t="s">
        <v>2107</v>
      </c>
      <c r="C182" s="49" t="s">
        <v>2108</v>
      </c>
      <c r="D182" s="49" t="s">
        <v>275</v>
      </c>
      <c r="E182" s="49" t="s">
        <v>21</v>
      </c>
      <c r="F182" s="49" t="s">
        <v>1973</v>
      </c>
      <c r="G182" s="49" t="s">
        <v>85</v>
      </c>
      <c r="H182" s="49" t="s">
        <v>36</v>
      </c>
      <c r="I182" s="84">
        <v>44713.0</v>
      </c>
      <c r="J182" s="86">
        <v>46539.0</v>
      </c>
      <c r="K182" s="86">
        <v>47635.0</v>
      </c>
      <c r="L182" s="49">
        <v>4.0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47" t="s">
        <v>2109</v>
      </c>
      <c r="B183" s="48" t="s">
        <v>2110</v>
      </c>
      <c r="C183" s="48" t="s">
        <v>1659</v>
      </c>
      <c r="D183" s="48" t="s">
        <v>275</v>
      </c>
      <c r="E183" s="49" t="s">
        <v>21</v>
      </c>
      <c r="F183" s="48" t="s">
        <v>1672</v>
      </c>
      <c r="G183" s="48" t="s">
        <v>97</v>
      </c>
      <c r="H183" s="48" t="s">
        <v>1673</v>
      </c>
      <c r="I183" s="84">
        <v>45444.0</v>
      </c>
      <c r="J183" s="88"/>
      <c r="K183" s="86">
        <v>46539.0</v>
      </c>
      <c r="L183" s="49">
        <v>3.0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83" t="s">
        <v>1177</v>
      </c>
      <c r="B184" s="49" t="s">
        <v>2111</v>
      </c>
      <c r="C184" s="49" t="s">
        <v>2112</v>
      </c>
      <c r="D184" s="49" t="s">
        <v>46</v>
      </c>
      <c r="E184" s="49" t="s">
        <v>21</v>
      </c>
      <c r="F184" s="49" t="s">
        <v>1801</v>
      </c>
      <c r="G184" s="49" t="s">
        <v>41</v>
      </c>
      <c r="H184" s="49" t="s">
        <v>98</v>
      </c>
      <c r="I184" s="84">
        <v>44713.0</v>
      </c>
      <c r="J184" s="88"/>
      <c r="K184" s="86">
        <v>45809.0</v>
      </c>
      <c r="L184" s="49">
        <v>3.0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83" t="s">
        <v>2113</v>
      </c>
      <c r="B185" s="49" t="s">
        <v>2114</v>
      </c>
      <c r="C185" s="49" t="s">
        <v>2115</v>
      </c>
      <c r="D185" s="49" t="s">
        <v>234</v>
      </c>
      <c r="E185" s="49" t="s">
        <v>21</v>
      </c>
      <c r="F185" s="49" t="s">
        <v>2116</v>
      </c>
      <c r="G185" s="49" t="s">
        <v>79</v>
      </c>
      <c r="H185" s="49" t="s">
        <v>98</v>
      </c>
      <c r="I185" s="84">
        <v>44713.0</v>
      </c>
      <c r="J185" s="88"/>
      <c r="K185" s="86">
        <v>45809.0</v>
      </c>
      <c r="L185" s="49">
        <v>3.0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83" t="s">
        <v>2117</v>
      </c>
      <c r="B186" s="49" t="s">
        <v>1767</v>
      </c>
      <c r="C186" s="49" t="s">
        <v>1156</v>
      </c>
      <c r="D186" s="49" t="s">
        <v>128</v>
      </c>
      <c r="E186" s="49" t="s">
        <v>21</v>
      </c>
      <c r="F186" s="49" t="s">
        <v>1857</v>
      </c>
      <c r="G186" s="49" t="s">
        <v>79</v>
      </c>
      <c r="H186" s="49" t="s">
        <v>2118</v>
      </c>
      <c r="I186" s="84">
        <v>42401.0</v>
      </c>
      <c r="J186" s="89"/>
      <c r="K186" s="86">
        <v>45809.0</v>
      </c>
      <c r="L186" s="49">
        <v>3.0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83" t="s">
        <v>2119</v>
      </c>
      <c r="B187" s="49" t="s">
        <v>2120</v>
      </c>
      <c r="C187" s="49" t="s">
        <v>757</v>
      </c>
      <c r="D187" s="49" t="s">
        <v>57</v>
      </c>
      <c r="E187" s="49" t="s">
        <v>21</v>
      </c>
      <c r="F187" s="49" t="s">
        <v>1680</v>
      </c>
      <c r="G187" s="49" t="s">
        <v>79</v>
      </c>
      <c r="H187" s="49" t="s">
        <v>1743</v>
      </c>
      <c r="I187" s="84">
        <v>44713.0</v>
      </c>
      <c r="J187" s="89"/>
      <c r="K187" s="86">
        <v>45809.0</v>
      </c>
      <c r="L187" s="49">
        <v>3.0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83" t="s">
        <v>2121</v>
      </c>
      <c r="B188" s="49" t="s">
        <v>2122</v>
      </c>
      <c r="C188" s="49" t="s">
        <v>2123</v>
      </c>
      <c r="D188" s="49" t="s">
        <v>311</v>
      </c>
      <c r="E188" s="49" t="s">
        <v>21</v>
      </c>
      <c r="F188" s="49" t="s">
        <v>1857</v>
      </c>
      <c r="G188" s="49" t="s">
        <v>41</v>
      </c>
      <c r="H188" s="49" t="s">
        <v>2118</v>
      </c>
      <c r="I188" s="84">
        <v>43983.0</v>
      </c>
      <c r="J188" s="88"/>
      <c r="K188" s="86">
        <v>45809.0</v>
      </c>
      <c r="L188" s="49">
        <v>3.0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83" t="s">
        <v>1202</v>
      </c>
      <c r="B189" s="49" t="s">
        <v>1000</v>
      </c>
      <c r="C189" s="49" t="s">
        <v>2124</v>
      </c>
      <c r="D189" s="49" t="s">
        <v>65</v>
      </c>
      <c r="E189" s="49" t="s">
        <v>21</v>
      </c>
      <c r="F189" s="49" t="s">
        <v>1670</v>
      </c>
      <c r="G189" s="49">
        <v>2.0</v>
      </c>
      <c r="H189" s="49" t="s">
        <v>271</v>
      </c>
      <c r="I189" s="84">
        <v>45078.0</v>
      </c>
      <c r="J189" s="88"/>
      <c r="K189" s="86">
        <v>46174.0</v>
      </c>
      <c r="L189" s="49">
        <v>3.0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47" t="s">
        <v>2125</v>
      </c>
      <c r="B190" s="48" t="s">
        <v>1000</v>
      </c>
      <c r="C190" s="48" t="s">
        <v>2124</v>
      </c>
      <c r="D190" s="48" t="s">
        <v>65</v>
      </c>
      <c r="E190" s="48" t="s">
        <v>21</v>
      </c>
      <c r="F190" s="48" t="s">
        <v>1666</v>
      </c>
      <c r="G190" s="48" t="s">
        <v>79</v>
      </c>
      <c r="H190" s="48" t="s">
        <v>1667</v>
      </c>
      <c r="I190" s="84">
        <v>45444.0</v>
      </c>
      <c r="J190" s="88"/>
      <c r="K190" s="86">
        <v>46539.0</v>
      </c>
      <c r="L190" s="49">
        <v>3.0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83" t="s">
        <v>2126</v>
      </c>
      <c r="B191" s="49" t="s">
        <v>2127</v>
      </c>
      <c r="C191" s="49" t="s">
        <v>2128</v>
      </c>
      <c r="D191" s="49" t="s">
        <v>71</v>
      </c>
      <c r="E191" s="49" t="s">
        <v>21</v>
      </c>
      <c r="F191" s="49" t="s">
        <v>1670</v>
      </c>
      <c r="G191" s="49">
        <v>3.0</v>
      </c>
      <c r="H191" s="49" t="s">
        <v>244</v>
      </c>
      <c r="I191" s="84">
        <v>45078.0</v>
      </c>
      <c r="J191" s="88"/>
      <c r="K191" s="86">
        <v>46174.0</v>
      </c>
      <c r="L191" s="49">
        <v>3.0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83" t="s">
        <v>2126</v>
      </c>
      <c r="B192" s="49" t="s">
        <v>2129</v>
      </c>
      <c r="C192" s="49" t="s">
        <v>2128</v>
      </c>
      <c r="D192" s="49" t="s">
        <v>71</v>
      </c>
      <c r="E192" s="49" t="s">
        <v>21</v>
      </c>
      <c r="F192" s="49" t="s">
        <v>1680</v>
      </c>
      <c r="G192" s="49" t="s">
        <v>79</v>
      </c>
      <c r="H192" s="49" t="s">
        <v>1842</v>
      </c>
      <c r="I192" s="84">
        <v>44713.0</v>
      </c>
      <c r="J192" s="88"/>
      <c r="K192" s="86">
        <v>45809.0</v>
      </c>
      <c r="L192" s="49">
        <v>3.0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83" t="s">
        <v>2130</v>
      </c>
      <c r="B193" s="49" t="s">
        <v>2131</v>
      </c>
      <c r="C193" s="49" t="s">
        <v>2132</v>
      </c>
      <c r="D193" s="49" t="s">
        <v>200</v>
      </c>
      <c r="E193" s="49" t="s">
        <v>21</v>
      </c>
      <c r="F193" s="49" t="s">
        <v>1690</v>
      </c>
      <c r="G193" s="49" t="s">
        <v>85</v>
      </c>
      <c r="H193" s="49" t="s">
        <v>1731</v>
      </c>
      <c r="I193" s="84">
        <v>44713.0</v>
      </c>
      <c r="J193" s="89"/>
      <c r="K193" s="86">
        <v>45809.0</v>
      </c>
      <c r="L193" s="49">
        <v>3.0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83" t="s">
        <v>2133</v>
      </c>
      <c r="B194" s="49" t="s">
        <v>2134</v>
      </c>
      <c r="C194" s="49" t="s">
        <v>223</v>
      </c>
      <c r="D194" s="49" t="s">
        <v>20</v>
      </c>
      <c r="E194" s="49" t="s">
        <v>21</v>
      </c>
      <c r="F194" s="49" t="s">
        <v>1772</v>
      </c>
      <c r="G194" s="49" t="s">
        <v>457</v>
      </c>
      <c r="H194" s="49" t="s">
        <v>36</v>
      </c>
      <c r="I194" s="84">
        <v>45078.0</v>
      </c>
      <c r="J194" s="86">
        <v>46539.0</v>
      </c>
      <c r="K194" s="86">
        <v>47635.0</v>
      </c>
      <c r="L194" s="49">
        <v>4.0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83" t="s">
        <v>2135</v>
      </c>
      <c r="B195" s="49" t="s">
        <v>2136</v>
      </c>
      <c r="C195" s="49" t="s">
        <v>1459</v>
      </c>
      <c r="D195" s="49" t="s">
        <v>20</v>
      </c>
      <c r="E195" s="49" t="s">
        <v>21</v>
      </c>
      <c r="F195" s="49" t="s">
        <v>1838</v>
      </c>
      <c r="G195" s="49">
        <v>1.0</v>
      </c>
      <c r="H195" s="49" t="s">
        <v>202</v>
      </c>
      <c r="I195" s="84">
        <v>45078.0</v>
      </c>
      <c r="J195" s="88"/>
      <c r="K195" s="86">
        <v>46174.0</v>
      </c>
      <c r="L195" s="49">
        <v>3.0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83" t="s">
        <v>2137</v>
      </c>
      <c r="B196" s="49" t="s">
        <v>2138</v>
      </c>
      <c r="C196" s="49" t="s">
        <v>1033</v>
      </c>
      <c r="D196" s="49" t="s">
        <v>20</v>
      </c>
      <c r="E196" s="49" t="s">
        <v>21</v>
      </c>
      <c r="F196" s="49" t="s">
        <v>1786</v>
      </c>
      <c r="G196" s="49">
        <v>1.0</v>
      </c>
      <c r="H196" s="49" t="s">
        <v>48</v>
      </c>
      <c r="I196" s="84">
        <v>45078.0</v>
      </c>
      <c r="J196" s="86">
        <v>46174.0</v>
      </c>
      <c r="K196" s="86">
        <v>47270.0</v>
      </c>
      <c r="L196" s="49">
        <v>4.0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83" t="s">
        <v>2139</v>
      </c>
      <c r="B197" s="49" t="s">
        <v>2140</v>
      </c>
      <c r="C197" s="49" t="s">
        <v>2141</v>
      </c>
      <c r="D197" s="49" t="s">
        <v>84</v>
      </c>
      <c r="E197" s="49" t="s">
        <v>21</v>
      </c>
      <c r="F197" s="49" t="s">
        <v>40</v>
      </c>
      <c r="G197" s="49" t="s">
        <v>41</v>
      </c>
      <c r="H197" s="49" t="s">
        <v>2118</v>
      </c>
      <c r="I197" s="84">
        <v>43983.0</v>
      </c>
      <c r="J197" s="88"/>
      <c r="K197" s="86">
        <v>45809.0</v>
      </c>
      <c r="L197" s="49">
        <v>3.0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83" t="s">
        <v>2142</v>
      </c>
      <c r="B198" s="49" t="s">
        <v>2143</v>
      </c>
      <c r="C198" s="49" t="s">
        <v>256</v>
      </c>
      <c r="D198" s="49" t="s">
        <v>102</v>
      </c>
      <c r="E198" s="49" t="s">
        <v>21</v>
      </c>
      <c r="F198" s="49" t="s">
        <v>1721</v>
      </c>
      <c r="G198" s="49">
        <v>1.0</v>
      </c>
      <c r="H198" s="49" t="s">
        <v>48</v>
      </c>
      <c r="I198" s="84">
        <v>45078.0</v>
      </c>
      <c r="J198" s="88"/>
      <c r="K198" s="86">
        <v>46174.0</v>
      </c>
      <c r="L198" s="49">
        <v>3.0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47" t="s">
        <v>2144</v>
      </c>
      <c r="B199" s="48" t="s">
        <v>2038</v>
      </c>
      <c r="C199" s="48" t="s">
        <v>205</v>
      </c>
      <c r="D199" s="48" t="s">
        <v>137</v>
      </c>
      <c r="E199" s="48" t="s">
        <v>21</v>
      </c>
      <c r="F199" s="48" t="s">
        <v>1857</v>
      </c>
      <c r="G199" s="48" t="s">
        <v>79</v>
      </c>
      <c r="H199" s="48" t="s">
        <v>1714</v>
      </c>
      <c r="I199" s="84">
        <v>45444.0</v>
      </c>
      <c r="J199" s="88"/>
      <c r="K199" s="86">
        <v>46539.0</v>
      </c>
      <c r="L199" s="49">
        <v>3.0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83" t="s">
        <v>2145</v>
      </c>
      <c r="B200" s="49" t="s">
        <v>2146</v>
      </c>
      <c r="C200" s="49" t="s">
        <v>1184</v>
      </c>
      <c r="D200" s="49" t="s">
        <v>107</v>
      </c>
      <c r="E200" s="49" t="s">
        <v>21</v>
      </c>
      <c r="F200" s="49" t="s">
        <v>1880</v>
      </c>
      <c r="G200" s="49">
        <v>2.0</v>
      </c>
      <c r="H200" s="49" t="s">
        <v>48</v>
      </c>
      <c r="I200" s="84">
        <v>45078.0</v>
      </c>
      <c r="J200" s="88"/>
      <c r="K200" s="86">
        <v>46174.0</v>
      </c>
      <c r="L200" s="49">
        <v>3.0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83" t="s">
        <v>2147</v>
      </c>
      <c r="B201" s="49" t="s">
        <v>1763</v>
      </c>
      <c r="C201" s="49" t="s">
        <v>2148</v>
      </c>
      <c r="D201" s="49" t="s">
        <v>137</v>
      </c>
      <c r="E201" s="49" t="s">
        <v>21</v>
      </c>
      <c r="F201" s="49" t="s">
        <v>1786</v>
      </c>
      <c r="G201" s="49">
        <v>4.0</v>
      </c>
      <c r="H201" s="49" t="s">
        <v>48</v>
      </c>
      <c r="I201" s="84">
        <v>45078.0</v>
      </c>
      <c r="J201" s="86">
        <v>46174.0</v>
      </c>
      <c r="K201" s="86">
        <v>47270.0</v>
      </c>
      <c r="L201" s="49">
        <v>4.0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83" t="s">
        <v>2149</v>
      </c>
      <c r="B202" s="49" t="s">
        <v>2150</v>
      </c>
      <c r="C202" s="49" t="s">
        <v>383</v>
      </c>
      <c r="D202" s="49" t="s">
        <v>84</v>
      </c>
      <c r="E202" s="49" t="s">
        <v>21</v>
      </c>
      <c r="F202" s="49" t="s">
        <v>1670</v>
      </c>
      <c r="G202" s="49">
        <v>2.0</v>
      </c>
      <c r="H202" s="49" t="s">
        <v>224</v>
      </c>
      <c r="I202" s="84">
        <v>45078.0</v>
      </c>
      <c r="J202" s="88"/>
      <c r="K202" s="86">
        <v>46174.0</v>
      </c>
      <c r="L202" s="49">
        <v>3.0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83" t="s">
        <v>2151</v>
      </c>
      <c r="B203" s="49" t="s">
        <v>2152</v>
      </c>
      <c r="C203" s="49" t="s">
        <v>2153</v>
      </c>
      <c r="D203" s="49" t="s">
        <v>65</v>
      </c>
      <c r="E203" s="49" t="s">
        <v>21</v>
      </c>
      <c r="F203" s="49" t="s">
        <v>2154</v>
      </c>
      <c r="G203" s="49" t="s">
        <v>79</v>
      </c>
      <c r="H203" s="49" t="s">
        <v>1667</v>
      </c>
      <c r="I203" s="84">
        <v>45444.0</v>
      </c>
      <c r="J203" s="88"/>
      <c r="K203" s="86">
        <v>46539.0</v>
      </c>
      <c r="L203" s="49">
        <v>3.0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47" t="s">
        <v>2155</v>
      </c>
      <c r="B204" s="48" t="s">
        <v>2156</v>
      </c>
      <c r="C204" s="48" t="s">
        <v>2157</v>
      </c>
      <c r="D204" s="48" t="s">
        <v>102</v>
      </c>
      <c r="E204" s="49" t="s">
        <v>21</v>
      </c>
      <c r="F204" s="48" t="s">
        <v>1756</v>
      </c>
      <c r="G204" s="48" t="s">
        <v>79</v>
      </c>
      <c r="H204" s="48" t="s">
        <v>1673</v>
      </c>
      <c r="I204" s="84">
        <v>45444.0</v>
      </c>
      <c r="J204" s="88"/>
      <c r="K204" s="86">
        <v>46539.0</v>
      </c>
      <c r="L204" s="49">
        <v>3.0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47" t="s">
        <v>2158</v>
      </c>
      <c r="B205" s="48" t="s">
        <v>1434</v>
      </c>
      <c r="C205" s="48" t="s">
        <v>2159</v>
      </c>
      <c r="D205" s="48" t="s">
        <v>20</v>
      </c>
      <c r="E205" s="48" t="s">
        <v>21</v>
      </c>
      <c r="F205" s="48" t="s">
        <v>1857</v>
      </c>
      <c r="G205" s="48" t="s">
        <v>85</v>
      </c>
      <c r="H205" s="48" t="s">
        <v>1820</v>
      </c>
      <c r="I205" s="84">
        <v>45444.0</v>
      </c>
      <c r="J205" s="88"/>
      <c r="K205" s="86">
        <v>46539.0</v>
      </c>
      <c r="L205" s="49">
        <v>3.0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83" t="s">
        <v>1246</v>
      </c>
      <c r="B206" s="49" t="s">
        <v>2160</v>
      </c>
      <c r="C206" s="61"/>
      <c r="D206" s="61"/>
      <c r="E206" s="49" t="s">
        <v>21</v>
      </c>
      <c r="F206" s="61"/>
      <c r="G206" s="61"/>
      <c r="H206" s="49" t="s">
        <v>188</v>
      </c>
      <c r="I206" s="84">
        <v>44348.0</v>
      </c>
      <c r="J206" s="88"/>
      <c r="K206" s="86">
        <v>46539.0</v>
      </c>
      <c r="L206" s="49">
        <v>3.0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83" t="s">
        <v>1246</v>
      </c>
      <c r="B207" s="49" t="s">
        <v>2161</v>
      </c>
      <c r="C207" s="61"/>
      <c r="D207" s="61"/>
      <c r="E207" s="49" t="s">
        <v>21</v>
      </c>
      <c r="F207" s="61"/>
      <c r="G207" s="61"/>
      <c r="H207" s="49" t="s">
        <v>188</v>
      </c>
      <c r="I207" s="84">
        <v>44348.0</v>
      </c>
      <c r="J207" s="88"/>
      <c r="K207" s="86">
        <v>46539.0</v>
      </c>
      <c r="L207" s="49">
        <v>3.0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83" t="s">
        <v>1246</v>
      </c>
      <c r="B208" s="49" t="s">
        <v>2162</v>
      </c>
      <c r="C208" s="61"/>
      <c r="D208" s="61"/>
      <c r="E208" s="61"/>
      <c r="F208" s="49" t="s">
        <v>119</v>
      </c>
      <c r="G208" s="61"/>
      <c r="H208" s="61"/>
      <c r="I208" s="84">
        <v>45444.0</v>
      </c>
      <c r="J208" s="86">
        <v>46539.0</v>
      </c>
      <c r="K208" s="86">
        <v>47635.0</v>
      </c>
      <c r="L208" s="49">
        <v>4.0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83" t="s">
        <v>2163</v>
      </c>
      <c r="B209" s="49" t="s">
        <v>2164</v>
      </c>
      <c r="C209" s="49" t="s">
        <v>2165</v>
      </c>
      <c r="D209" s="49" t="s">
        <v>851</v>
      </c>
      <c r="E209" s="49" t="s">
        <v>21</v>
      </c>
      <c r="F209" s="49" t="s">
        <v>1697</v>
      </c>
      <c r="G209" s="49" t="s">
        <v>85</v>
      </c>
      <c r="H209" s="49" t="s">
        <v>98</v>
      </c>
      <c r="I209" s="84">
        <v>44713.0</v>
      </c>
      <c r="J209" s="88"/>
      <c r="K209" s="86">
        <v>45809.0</v>
      </c>
      <c r="L209" s="49">
        <v>3.0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83" t="s">
        <v>1256</v>
      </c>
      <c r="B210" s="49" t="s">
        <v>2166</v>
      </c>
      <c r="C210" s="49" t="s">
        <v>2167</v>
      </c>
      <c r="D210" s="49" t="s">
        <v>128</v>
      </c>
      <c r="E210" s="49" t="s">
        <v>21</v>
      </c>
      <c r="F210" s="61"/>
      <c r="G210" s="61"/>
      <c r="H210" s="49" t="s">
        <v>188</v>
      </c>
      <c r="I210" s="84">
        <v>44348.0</v>
      </c>
      <c r="J210" s="88"/>
      <c r="K210" s="86">
        <v>46539.0</v>
      </c>
      <c r="L210" s="49">
        <v>3.0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83" t="s">
        <v>2168</v>
      </c>
      <c r="B211" s="49" t="s">
        <v>2169</v>
      </c>
      <c r="C211" s="49" t="s">
        <v>2170</v>
      </c>
      <c r="D211" s="49" t="s">
        <v>152</v>
      </c>
      <c r="E211" s="49" t="s">
        <v>21</v>
      </c>
      <c r="F211" s="49" t="s">
        <v>1690</v>
      </c>
      <c r="G211" s="49" t="s">
        <v>85</v>
      </c>
      <c r="H211" s="49" t="s">
        <v>2171</v>
      </c>
      <c r="I211" s="84">
        <v>44713.0</v>
      </c>
      <c r="J211" s="88"/>
      <c r="K211" s="86">
        <v>45809.0</v>
      </c>
      <c r="L211" s="49">
        <v>3.0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83" t="s">
        <v>2172</v>
      </c>
      <c r="B212" s="49" t="s">
        <v>2173</v>
      </c>
      <c r="C212" s="49" t="s">
        <v>986</v>
      </c>
      <c r="D212" s="49" t="s">
        <v>20</v>
      </c>
      <c r="E212" s="49" t="s">
        <v>21</v>
      </c>
      <c r="F212" s="49" t="s">
        <v>1675</v>
      </c>
      <c r="G212" s="49" t="s">
        <v>41</v>
      </c>
      <c r="H212" s="49" t="s">
        <v>172</v>
      </c>
      <c r="I212" s="84">
        <v>45444.0</v>
      </c>
      <c r="J212" s="86">
        <v>46174.0</v>
      </c>
      <c r="K212" s="86">
        <v>47270.0</v>
      </c>
      <c r="L212" s="49">
        <v>4.0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83" t="s">
        <v>2174</v>
      </c>
      <c r="B213" s="49" t="s">
        <v>2175</v>
      </c>
      <c r="C213" s="49" t="s">
        <v>2176</v>
      </c>
      <c r="D213" s="49" t="s">
        <v>163</v>
      </c>
      <c r="E213" s="49" t="s">
        <v>21</v>
      </c>
      <c r="F213" s="49" t="s">
        <v>1680</v>
      </c>
      <c r="G213" s="49" t="s">
        <v>97</v>
      </c>
      <c r="H213" s="49" t="s">
        <v>98</v>
      </c>
      <c r="I213" s="84">
        <v>44713.0</v>
      </c>
      <c r="J213" s="88"/>
      <c r="K213" s="86">
        <v>45809.0</v>
      </c>
      <c r="L213" s="49">
        <v>3.0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83" t="s">
        <v>2177</v>
      </c>
      <c r="B214" s="49" t="s">
        <v>2178</v>
      </c>
      <c r="C214" s="49" t="s">
        <v>2179</v>
      </c>
      <c r="D214" s="49" t="s">
        <v>152</v>
      </c>
      <c r="E214" s="49" t="s">
        <v>21</v>
      </c>
      <c r="F214" s="49" t="s">
        <v>1690</v>
      </c>
      <c r="G214" s="49" t="s">
        <v>85</v>
      </c>
      <c r="H214" s="49" t="s">
        <v>2171</v>
      </c>
      <c r="I214" s="84">
        <v>44713.0</v>
      </c>
      <c r="J214" s="88"/>
      <c r="K214" s="86">
        <v>45809.0</v>
      </c>
      <c r="L214" s="49">
        <v>3.0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83" t="s">
        <v>2180</v>
      </c>
      <c r="B215" s="49" t="s">
        <v>2181</v>
      </c>
      <c r="C215" s="61"/>
      <c r="D215" s="61"/>
      <c r="E215" s="49" t="s">
        <v>21</v>
      </c>
      <c r="F215" s="61"/>
      <c r="G215" s="61"/>
      <c r="H215" s="49" t="s">
        <v>188</v>
      </c>
      <c r="I215" s="84">
        <v>44348.0</v>
      </c>
      <c r="J215" s="88"/>
      <c r="K215" s="86">
        <v>46539.0</v>
      </c>
      <c r="L215" s="49">
        <v>3.0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83" t="s">
        <v>2182</v>
      </c>
      <c r="B216" s="49" t="s">
        <v>2183</v>
      </c>
      <c r="C216" s="49" t="s">
        <v>594</v>
      </c>
      <c r="D216" s="49" t="s">
        <v>595</v>
      </c>
      <c r="E216" s="49" t="s">
        <v>21</v>
      </c>
      <c r="F216" s="49" t="s">
        <v>1838</v>
      </c>
      <c r="G216" s="49">
        <v>2.0</v>
      </c>
      <c r="H216" s="49" t="s">
        <v>224</v>
      </c>
      <c r="I216" s="84">
        <v>45078.0</v>
      </c>
      <c r="J216" s="88"/>
      <c r="K216" s="86">
        <v>46174.0</v>
      </c>
      <c r="L216" s="49">
        <v>3.0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83" t="s">
        <v>2184</v>
      </c>
      <c r="B217" s="49" t="s">
        <v>2185</v>
      </c>
      <c r="C217" s="49" t="s">
        <v>1004</v>
      </c>
      <c r="D217" s="49" t="s">
        <v>266</v>
      </c>
      <c r="E217" s="49" t="s">
        <v>21</v>
      </c>
      <c r="F217" s="49" t="s">
        <v>2116</v>
      </c>
      <c r="G217" s="49" t="s">
        <v>97</v>
      </c>
      <c r="H217" s="49" t="s">
        <v>98</v>
      </c>
      <c r="I217" s="84">
        <v>44713.0</v>
      </c>
      <c r="J217" s="88"/>
      <c r="K217" s="86">
        <v>45809.0</v>
      </c>
      <c r="L217" s="49">
        <v>3.0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83" t="s">
        <v>1290</v>
      </c>
      <c r="B218" s="49" t="s">
        <v>1790</v>
      </c>
      <c r="C218" s="49" t="s">
        <v>2186</v>
      </c>
      <c r="D218" s="49" t="s">
        <v>2105</v>
      </c>
      <c r="E218" s="49" t="s">
        <v>21</v>
      </c>
      <c r="F218" s="49" t="s">
        <v>2003</v>
      </c>
      <c r="G218" s="49" t="s">
        <v>91</v>
      </c>
      <c r="H218" s="49" t="s">
        <v>36</v>
      </c>
      <c r="I218" s="84">
        <v>45444.0</v>
      </c>
      <c r="J218" s="86">
        <v>46539.0</v>
      </c>
      <c r="K218" s="86">
        <v>47635.0</v>
      </c>
      <c r="L218" s="49">
        <v>4.0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83" t="s">
        <v>2187</v>
      </c>
      <c r="B219" s="49" t="s">
        <v>1758</v>
      </c>
      <c r="C219" s="49" t="s">
        <v>2188</v>
      </c>
      <c r="D219" s="49" t="s">
        <v>46</v>
      </c>
      <c r="E219" s="49" t="s">
        <v>21</v>
      </c>
      <c r="F219" s="49" t="s">
        <v>1738</v>
      </c>
      <c r="G219" s="49" t="s">
        <v>85</v>
      </c>
      <c r="H219" s="49" t="s">
        <v>98</v>
      </c>
      <c r="I219" s="84">
        <v>44713.0</v>
      </c>
      <c r="J219" s="86">
        <v>45809.0</v>
      </c>
      <c r="K219" s="86">
        <v>46905.0</v>
      </c>
      <c r="L219" s="49">
        <v>4.0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47" t="s">
        <v>2189</v>
      </c>
      <c r="B220" s="48" t="s">
        <v>1693</v>
      </c>
      <c r="C220" s="48" t="s">
        <v>2190</v>
      </c>
      <c r="D220" s="48" t="s">
        <v>430</v>
      </c>
      <c r="E220" s="48" t="s">
        <v>21</v>
      </c>
      <c r="F220" s="48" t="s">
        <v>1857</v>
      </c>
      <c r="G220" s="48" t="s">
        <v>41</v>
      </c>
      <c r="H220" s="48" t="s">
        <v>1777</v>
      </c>
      <c r="I220" s="84">
        <v>45444.0</v>
      </c>
      <c r="J220" s="88"/>
      <c r="K220" s="86">
        <v>46539.0</v>
      </c>
      <c r="L220" s="49">
        <v>3.0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83" t="s">
        <v>2191</v>
      </c>
      <c r="B221" s="49" t="s">
        <v>2192</v>
      </c>
      <c r="C221" s="49" t="s">
        <v>2193</v>
      </c>
      <c r="D221" s="49" t="s">
        <v>1990</v>
      </c>
      <c r="E221" s="49" t="s">
        <v>21</v>
      </c>
      <c r="F221" s="49" t="s">
        <v>1680</v>
      </c>
      <c r="G221" s="49" t="s">
        <v>85</v>
      </c>
      <c r="H221" s="49" t="s">
        <v>2171</v>
      </c>
      <c r="I221" s="84">
        <v>44713.0</v>
      </c>
      <c r="J221" s="88"/>
      <c r="K221" s="86">
        <v>45809.0</v>
      </c>
      <c r="L221" s="49">
        <v>3.0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83" t="s">
        <v>2194</v>
      </c>
      <c r="B222" s="49" t="s">
        <v>2195</v>
      </c>
      <c r="C222" s="61"/>
      <c r="D222" s="61"/>
      <c r="E222" s="49" t="s">
        <v>701</v>
      </c>
      <c r="F222" s="49" t="s">
        <v>1786</v>
      </c>
      <c r="G222" s="49">
        <v>4.0</v>
      </c>
      <c r="H222" s="49" t="s">
        <v>48</v>
      </c>
      <c r="I222" s="84">
        <v>45078.0</v>
      </c>
      <c r="J222" s="86">
        <v>46174.0</v>
      </c>
      <c r="K222" s="86">
        <v>47270.0</v>
      </c>
      <c r="L222" s="49">
        <v>4.0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83" t="s">
        <v>2196</v>
      </c>
      <c r="B223" s="49" t="s">
        <v>2197</v>
      </c>
      <c r="C223" s="49" t="s">
        <v>2198</v>
      </c>
      <c r="D223" s="49" t="s">
        <v>851</v>
      </c>
      <c r="E223" s="49" t="s">
        <v>21</v>
      </c>
      <c r="F223" s="49" t="s">
        <v>2199</v>
      </c>
      <c r="G223" s="49" t="s">
        <v>79</v>
      </c>
      <c r="H223" s="49" t="s">
        <v>1673</v>
      </c>
      <c r="I223" s="84">
        <v>45444.0</v>
      </c>
      <c r="J223" s="86">
        <v>46539.0</v>
      </c>
      <c r="K223" s="86">
        <v>47635.0</v>
      </c>
      <c r="L223" s="49">
        <v>4.0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83" t="s">
        <v>2200</v>
      </c>
      <c r="B224" s="49" t="s">
        <v>2201</v>
      </c>
      <c r="C224" s="49" t="s">
        <v>1418</v>
      </c>
      <c r="D224" s="49" t="s">
        <v>65</v>
      </c>
      <c r="E224" s="49" t="s">
        <v>21</v>
      </c>
      <c r="F224" s="49" t="s">
        <v>1670</v>
      </c>
      <c r="G224" s="49">
        <v>2.0</v>
      </c>
      <c r="H224" s="49" t="s">
        <v>271</v>
      </c>
      <c r="I224" s="84">
        <v>45078.0</v>
      </c>
      <c r="J224" s="88"/>
      <c r="K224" s="86">
        <v>46174.0</v>
      </c>
      <c r="L224" s="49">
        <v>3.0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83" t="s">
        <v>2202</v>
      </c>
      <c r="B225" s="49" t="s">
        <v>2203</v>
      </c>
      <c r="C225" s="49" t="s">
        <v>2204</v>
      </c>
      <c r="D225" s="49" t="s">
        <v>46</v>
      </c>
      <c r="E225" s="49" t="s">
        <v>21</v>
      </c>
      <c r="F225" s="49" t="s">
        <v>1724</v>
      </c>
      <c r="G225" s="49">
        <v>2.0</v>
      </c>
      <c r="H225" s="49" t="s">
        <v>48</v>
      </c>
      <c r="I225" s="84">
        <v>45078.0</v>
      </c>
      <c r="J225" s="88"/>
      <c r="K225" s="86">
        <v>46174.0</v>
      </c>
      <c r="L225" s="49">
        <v>3.0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83" t="s">
        <v>2205</v>
      </c>
      <c r="B226" s="49" t="s">
        <v>2206</v>
      </c>
      <c r="C226" s="61"/>
      <c r="D226" s="61"/>
      <c r="E226" s="61"/>
      <c r="F226" s="49" t="s">
        <v>1927</v>
      </c>
      <c r="G226" s="61"/>
      <c r="H226" s="61"/>
      <c r="I226" s="84">
        <v>44348.0</v>
      </c>
      <c r="J226" s="88"/>
      <c r="K226" s="86">
        <v>46539.0</v>
      </c>
      <c r="L226" s="49">
        <v>3.0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83" t="s">
        <v>1313</v>
      </c>
      <c r="B227" s="49" t="s">
        <v>1198</v>
      </c>
      <c r="C227" s="49" t="s">
        <v>2207</v>
      </c>
      <c r="D227" s="49" t="s">
        <v>185</v>
      </c>
      <c r="E227" s="49" t="s">
        <v>21</v>
      </c>
      <c r="F227" s="49" t="s">
        <v>1670</v>
      </c>
      <c r="G227" s="49">
        <v>3.0</v>
      </c>
      <c r="H227" s="49" t="s">
        <v>357</v>
      </c>
      <c r="I227" s="84">
        <v>45078.0</v>
      </c>
      <c r="J227" s="88"/>
      <c r="K227" s="86">
        <v>46174.0</v>
      </c>
      <c r="L227" s="49">
        <v>3.0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83" t="s">
        <v>2208</v>
      </c>
      <c r="B228" s="49" t="s">
        <v>2209</v>
      </c>
      <c r="C228" s="49" t="s">
        <v>2210</v>
      </c>
      <c r="D228" s="49" t="s">
        <v>102</v>
      </c>
      <c r="E228" s="49" t="s">
        <v>21</v>
      </c>
      <c r="F228" s="49" t="s">
        <v>1680</v>
      </c>
      <c r="G228" s="49" t="s">
        <v>85</v>
      </c>
      <c r="H228" s="49" t="s">
        <v>98</v>
      </c>
      <c r="I228" s="84">
        <v>44713.0</v>
      </c>
      <c r="J228" s="88"/>
      <c r="K228" s="86">
        <v>45809.0</v>
      </c>
      <c r="L228" s="49">
        <v>3.0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83" t="s">
        <v>2211</v>
      </c>
      <c r="B229" s="49" t="s">
        <v>2212</v>
      </c>
      <c r="C229" s="49" t="s">
        <v>2213</v>
      </c>
      <c r="D229" s="49" t="s">
        <v>275</v>
      </c>
      <c r="E229" s="49" t="s">
        <v>21</v>
      </c>
      <c r="F229" s="49" t="s">
        <v>1675</v>
      </c>
      <c r="G229" s="49" t="s">
        <v>79</v>
      </c>
      <c r="H229" s="49" t="s">
        <v>1892</v>
      </c>
      <c r="I229" s="84">
        <v>45444.0</v>
      </c>
      <c r="J229" s="86">
        <v>46174.0</v>
      </c>
      <c r="K229" s="86">
        <v>47270.0</v>
      </c>
      <c r="L229" s="49">
        <v>4.0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47" t="s">
        <v>2214</v>
      </c>
      <c r="B230" s="48" t="s">
        <v>2215</v>
      </c>
      <c r="C230" s="48" t="s">
        <v>2216</v>
      </c>
      <c r="D230" s="48" t="s">
        <v>102</v>
      </c>
      <c r="E230" s="49" t="s">
        <v>21</v>
      </c>
      <c r="F230" s="48" t="s">
        <v>1724</v>
      </c>
      <c r="G230" s="48" t="s">
        <v>97</v>
      </c>
      <c r="H230" s="91" t="s">
        <v>1673</v>
      </c>
      <c r="I230" s="92">
        <v>45444.0</v>
      </c>
      <c r="J230" s="88"/>
      <c r="K230" s="86">
        <v>46539.0</v>
      </c>
      <c r="L230" s="49">
        <v>3.0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83" t="s">
        <v>2217</v>
      </c>
      <c r="B231" s="49" t="s">
        <v>2218</v>
      </c>
      <c r="C231" s="49" t="s">
        <v>1079</v>
      </c>
      <c r="D231" s="49" t="s">
        <v>65</v>
      </c>
      <c r="E231" s="49" t="s">
        <v>21</v>
      </c>
      <c r="F231" s="49" t="s">
        <v>1670</v>
      </c>
      <c r="G231" s="49">
        <v>1.0</v>
      </c>
      <c r="H231" s="82" t="s">
        <v>271</v>
      </c>
      <c r="I231" s="84">
        <v>45078.0</v>
      </c>
      <c r="J231" s="88"/>
      <c r="K231" s="86">
        <v>46174.0</v>
      </c>
      <c r="L231" s="49">
        <v>3.0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83" t="s">
        <v>2219</v>
      </c>
      <c r="B232" s="49" t="s">
        <v>2220</v>
      </c>
      <c r="C232" s="61"/>
      <c r="D232" s="61"/>
      <c r="E232" s="49" t="s">
        <v>21</v>
      </c>
      <c r="F232" s="61"/>
      <c r="G232" s="61"/>
      <c r="H232" s="49" t="s">
        <v>188</v>
      </c>
      <c r="I232" s="84">
        <v>44348.0</v>
      </c>
      <c r="J232" s="89"/>
      <c r="K232" s="86">
        <v>46539.0</v>
      </c>
      <c r="L232" s="49">
        <v>3.0</v>
      </c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83" t="s">
        <v>2221</v>
      </c>
      <c r="B233" s="49" t="s">
        <v>2222</v>
      </c>
      <c r="C233" s="49" t="s">
        <v>2223</v>
      </c>
      <c r="D233" s="49" t="s">
        <v>65</v>
      </c>
      <c r="E233" s="49" t="s">
        <v>21</v>
      </c>
      <c r="F233" s="49" t="s">
        <v>1703</v>
      </c>
      <c r="G233" s="49" t="s">
        <v>85</v>
      </c>
      <c r="H233" s="49" t="s">
        <v>98</v>
      </c>
      <c r="I233" s="84">
        <v>44713.0</v>
      </c>
      <c r="J233" s="86">
        <v>45809.0</v>
      </c>
      <c r="K233" s="86">
        <v>46905.0</v>
      </c>
      <c r="L233" s="49">
        <v>4.0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83" t="s">
        <v>2224</v>
      </c>
      <c r="B234" s="49" t="s">
        <v>2225</v>
      </c>
      <c r="C234" s="49" t="s">
        <v>890</v>
      </c>
      <c r="D234" s="49" t="s">
        <v>102</v>
      </c>
      <c r="E234" s="49" t="s">
        <v>21</v>
      </c>
      <c r="F234" s="49" t="s">
        <v>2010</v>
      </c>
      <c r="G234" s="49" t="s">
        <v>91</v>
      </c>
      <c r="H234" s="49" t="s">
        <v>124</v>
      </c>
      <c r="I234" s="84">
        <v>43617.0</v>
      </c>
      <c r="J234" s="88"/>
      <c r="K234" s="86">
        <v>45809.0</v>
      </c>
      <c r="L234" s="49">
        <v>3.0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83" t="s">
        <v>2226</v>
      </c>
      <c r="B235" s="49" t="s">
        <v>2227</v>
      </c>
      <c r="C235" s="49" t="s">
        <v>2228</v>
      </c>
      <c r="D235" s="49" t="s">
        <v>20</v>
      </c>
      <c r="E235" s="49" t="s">
        <v>21</v>
      </c>
      <c r="F235" s="49" t="s">
        <v>1680</v>
      </c>
      <c r="G235" s="49" t="s">
        <v>29</v>
      </c>
      <c r="H235" s="49" t="s">
        <v>1731</v>
      </c>
      <c r="I235" s="84">
        <v>44713.0</v>
      </c>
      <c r="J235" s="88"/>
      <c r="K235" s="86">
        <v>45809.0</v>
      </c>
      <c r="L235" s="49">
        <v>3.0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47" t="s">
        <v>2229</v>
      </c>
      <c r="B236" s="48" t="s">
        <v>2230</v>
      </c>
      <c r="C236" s="48" t="s">
        <v>2231</v>
      </c>
      <c r="D236" s="48" t="s">
        <v>20</v>
      </c>
      <c r="E236" s="48" t="s">
        <v>21</v>
      </c>
      <c r="F236" s="48" t="s">
        <v>1675</v>
      </c>
      <c r="G236" s="48" t="s">
        <v>85</v>
      </c>
      <c r="H236" s="48" t="s">
        <v>1820</v>
      </c>
      <c r="I236" s="84">
        <v>45444.0</v>
      </c>
      <c r="J236" s="88"/>
      <c r="K236" s="86">
        <v>46539.0</v>
      </c>
      <c r="L236" s="49">
        <v>3.0</v>
      </c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93" t="s">
        <v>2232</v>
      </c>
      <c r="B237" s="94" t="s">
        <v>2233</v>
      </c>
      <c r="C237" s="94" t="s">
        <v>390</v>
      </c>
      <c r="D237" s="94" t="s">
        <v>102</v>
      </c>
      <c r="E237" s="94" t="s">
        <v>21</v>
      </c>
      <c r="F237" s="94" t="s">
        <v>2012</v>
      </c>
      <c r="G237" s="94">
        <v>4.0</v>
      </c>
      <c r="H237" s="94" t="s">
        <v>48</v>
      </c>
      <c r="I237" s="84">
        <v>45078.0</v>
      </c>
      <c r="J237" s="86">
        <v>46174.0</v>
      </c>
      <c r="K237" s="86">
        <v>47270.0</v>
      </c>
      <c r="L237" s="49">
        <v>4.0</v>
      </c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77" t="s">
        <v>2234</v>
      </c>
      <c r="B238" s="78" t="s">
        <v>2084</v>
      </c>
      <c r="C238" s="78" t="s">
        <v>1776</v>
      </c>
      <c r="D238" s="78" t="s">
        <v>430</v>
      </c>
      <c r="E238" s="78" t="s">
        <v>21</v>
      </c>
      <c r="F238" s="78" t="s">
        <v>1675</v>
      </c>
      <c r="G238" s="78" t="s">
        <v>79</v>
      </c>
      <c r="H238" s="78" t="s">
        <v>1777</v>
      </c>
      <c r="I238" s="84">
        <v>45444.0</v>
      </c>
      <c r="J238" s="88"/>
      <c r="K238" s="86">
        <v>46539.0</v>
      </c>
      <c r="L238" s="49">
        <v>3.0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83" t="s">
        <v>2235</v>
      </c>
      <c r="B239" s="49" t="s">
        <v>881</v>
      </c>
      <c r="C239" s="49" t="s">
        <v>926</v>
      </c>
      <c r="D239" s="49" t="s">
        <v>65</v>
      </c>
      <c r="E239" s="49" t="s">
        <v>21</v>
      </c>
      <c r="F239" s="49" t="s">
        <v>1675</v>
      </c>
      <c r="G239" s="49" t="s">
        <v>41</v>
      </c>
      <c r="H239" s="49" t="s">
        <v>1667</v>
      </c>
      <c r="I239" s="84">
        <v>45444.0</v>
      </c>
      <c r="J239" s="88"/>
      <c r="K239" s="86">
        <v>46539.0</v>
      </c>
      <c r="L239" s="49">
        <v>3.0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83" t="s">
        <v>2236</v>
      </c>
      <c r="B240" s="49" t="s">
        <v>2237</v>
      </c>
      <c r="C240" s="49" t="s">
        <v>2238</v>
      </c>
      <c r="D240" s="49" t="s">
        <v>84</v>
      </c>
      <c r="E240" s="49" t="s">
        <v>21</v>
      </c>
      <c r="F240" s="49" t="s">
        <v>1670</v>
      </c>
      <c r="G240" s="49">
        <v>2.0</v>
      </c>
      <c r="H240" s="49" t="s">
        <v>224</v>
      </c>
      <c r="I240" s="84">
        <v>45078.0</v>
      </c>
      <c r="J240" s="89"/>
      <c r="K240" s="86">
        <v>46174.0</v>
      </c>
      <c r="L240" s="49">
        <v>3.0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83" t="s">
        <v>2239</v>
      </c>
      <c r="B241" s="49" t="s">
        <v>2240</v>
      </c>
      <c r="C241" s="49" t="s">
        <v>1156</v>
      </c>
      <c r="D241" s="49" t="s">
        <v>128</v>
      </c>
      <c r="E241" s="49" t="s">
        <v>21</v>
      </c>
      <c r="F241" s="49" t="s">
        <v>119</v>
      </c>
      <c r="G241" s="61"/>
      <c r="H241" s="61"/>
      <c r="I241" s="84">
        <v>44713.0</v>
      </c>
      <c r="J241" s="86">
        <v>46388.0</v>
      </c>
      <c r="K241" s="86">
        <v>47635.0</v>
      </c>
      <c r="L241" s="49">
        <v>4.0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47" t="s">
        <v>2241</v>
      </c>
      <c r="B242" s="48" t="s">
        <v>2242</v>
      </c>
      <c r="C242" s="48" t="s">
        <v>1079</v>
      </c>
      <c r="D242" s="48" t="s">
        <v>65</v>
      </c>
      <c r="E242" s="48" t="s">
        <v>21</v>
      </c>
      <c r="F242" s="48" t="s">
        <v>1666</v>
      </c>
      <c r="G242" s="48" t="s">
        <v>85</v>
      </c>
      <c r="H242" s="48" t="s">
        <v>1667</v>
      </c>
      <c r="I242" s="84">
        <v>45444.0</v>
      </c>
      <c r="J242" s="89"/>
      <c r="K242" s="86">
        <v>46539.0</v>
      </c>
      <c r="L242" s="49">
        <v>3.0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47" t="s">
        <v>1359</v>
      </c>
      <c r="B243" s="48" t="s">
        <v>1434</v>
      </c>
      <c r="C243" s="60"/>
      <c r="D243" s="60"/>
      <c r="E243" s="48" t="s">
        <v>21</v>
      </c>
      <c r="F243" s="48" t="s">
        <v>1675</v>
      </c>
      <c r="G243" s="48" t="s">
        <v>79</v>
      </c>
      <c r="H243" s="48" t="s">
        <v>1676</v>
      </c>
      <c r="I243" s="84">
        <v>45444.0</v>
      </c>
      <c r="J243" s="88"/>
      <c r="K243" s="86">
        <v>46539.0</v>
      </c>
      <c r="L243" s="49">
        <v>3.0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47" t="s">
        <v>1368</v>
      </c>
      <c r="B244" s="48" t="s">
        <v>2243</v>
      </c>
      <c r="C244" s="48" t="s">
        <v>590</v>
      </c>
      <c r="D244" s="48" t="s">
        <v>270</v>
      </c>
      <c r="E244" s="48" t="s">
        <v>21</v>
      </c>
      <c r="F244" s="48" t="s">
        <v>1666</v>
      </c>
      <c r="G244" s="48" t="s">
        <v>85</v>
      </c>
      <c r="H244" s="48" t="s">
        <v>337</v>
      </c>
      <c r="I244" s="84">
        <v>45444.0</v>
      </c>
      <c r="J244" s="88"/>
      <c r="K244" s="86">
        <v>46539.0</v>
      </c>
      <c r="L244" s="49">
        <v>3.0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47" t="s">
        <v>2244</v>
      </c>
      <c r="B245" s="48" t="s">
        <v>1850</v>
      </c>
      <c r="C245" s="48" t="s">
        <v>390</v>
      </c>
      <c r="D245" s="48" t="s">
        <v>102</v>
      </c>
      <c r="E245" s="49" t="s">
        <v>21</v>
      </c>
      <c r="F245" s="48" t="s">
        <v>1724</v>
      </c>
      <c r="G245" s="48" t="s">
        <v>41</v>
      </c>
      <c r="H245" s="48" t="s">
        <v>1673</v>
      </c>
      <c r="I245" s="84">
        <v>45444.0</v>
      </c>
      <c r="J245" s="88"/>
      <c r="K245" s="86">
        <v>46539.0</v>
      </c>
      <c r="L245" s="49">
        <v>3.0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83" t="s">
        <v>2245</v>
      </c>
      <c r="B246" s="49" t="s">
        <v>2246</v>
      </c>
      <c r="C246" s="49" t="s">
        <v>1156</v>
      </c>
      <c r="D246" s="49" t="s">
        <v>128</v>
      </c>
      <c r="E246" s="49" t="s">
        <v>21</v>
      </c>
      <c r="F246" s="49" t="s">
        <v>1690</v>
      </c>
      <c r="G246" s="49" t="s">
        <v>85</v>
      </c>
      <c r="H246" s="49" t="s">
        <v>1761</v>
      </c>
      <c r="I246" s="84">
        <v>44713.0</v>
      </c>
      <c r="J246" s="88"/>
      <c r="K246" s="86">
        <v>46539.0</v>
      </c>
      <c r="L246" s="49">
        <v>3.0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83" t="s">
        <v>1378</v>
      </c>
      <c r="B247" s="49" t="s">
        <v>2247</v>
      </c>
      <c r="C247" s="49" t="s">
        <v>2248</v>
      </c>
      <c r="D247" s="49" t="s">
        <v>595</v>
      </c>
      <c r="E247" s="49" t="s">
        <v>21</v>
      </c>
      <c r="F247" s="49" t="s">
        <v>1680</v>
      </c>
      <c r="G247" s="49" t="s">
        <v>79</v>
      </c>
      <c r="H247" s="49" t="s">
        <v>2118</v>
      </c>
      <c r="I247" s="84">
        <v>44713.0</v>
      </c>
      <c r="J247" s="88"/>
      <c r="K247" s="86">
        <v>45809.0</v>
      </c>
      <c r="L247" s="49">
        <v>3.0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47" t="s">
        <v>2249</v>
      </c>
      <c r="B248" s="48" t="s">
        <v>2250</v>
      </c>
      <c r="C248" s="48" t="s">
        <v>2251</v>
      </c>
      <c r="D248" s="48" t="s">
        <v>27</v>
      </c>
      <c r="E248" s="48" t="s">
        <v>21</v>
      </c>
      <c r="F248" s="48" t="s">
        <v>1675</v>
      </c>
      <c r="G248" s="48" t="s">
        <v>85</v>
      </c>
      <c r="H248" s="48" t="s">
        <v>1714</v>
      </c>
      <c r="I248" s="84">
        <v>45444.0</v>
      </c>
      <c r="J248" s="88"/>
      <c r="K248" s="86">
        <v>46539.0</v>
      </c>
      <c r="L248" s="49">
        <v>3.0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83" t="s">
        <v>2252</v>
      </c>
      <c r="B249" s="49" t="s">
        <v>1696</v>
      </c>
      <c r="C249" s="49" t="s">
        <v>317</v>
      </c>
      <c r="D249" s="49" t="s">
        <v>266</v>
      </c>
      <c r="E249" s="49" t="s">
        <v>21</v>
      </c>
      <c r="F249" s="49" t="s">
        <v>1680</v>
      </c>
      <c r="G249" s="49" t="s">
        <v>79</v>
      </c>
      <c r="H249" s="49" t="s">
        <v>1892</v>
      </c>
      <c r="I249" s="84">
        <v>45444.0</v>
      </c>
      <c r="J249" s="88"/>
      <c r="K249" s="86">
        <v>46539.0</v>
      </c>
      <c r="L249" s="49">
        <v>3.0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83" t="s">
        <v>2253</v>
      </c>
      <c r="B250" s="49" t="s">
        <v>2254</v>
      </c>
      <c r="C250" s="61"/>
      <c r="D250" s="61"/>
      <c r="E250" s="49" t="s">
        <v>21</v>
      </c>
      <c r="F250" s="61"/>
      <c r="G250" s="61"/>
      <c r="H250" s="49" t="s">
        <v>188</v>
      </c>
      <c r="I250" s="84">
        <v>44348.0</v>
      </c>
      <c r="J250" s="88"/>
      <c r="K250" s="86">
        <v>46539.0</v>
      </c>
      <c r="L250" s="49">
        <v>3.0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83" t="s">
        <v>2255</v>
      </c>
      <c r="B251" s="49" t="s">
        <v>2256</v>
      </c>
      <c r="C251" s="49" t="s">
        <v>2257</v>
      </c>
      <c r="D251" s="49" t="s">
        <v>128</v>
      </c>
      <c r="E251" s="49" t="s">
        <v>21</v>
      </c>
      <c r="F251" s="49" t="s">
        <v>1680</v>
      </c>
      <c r="G251" s="49" t="s">
        <v>41</v>
      </c>
      <c r="H251" s="49" t="s">
        <v>1761</v>
      </c>
      <c r="I251" s="84">
        <v>44713.0</v>
      </c>
      <c r="J251" s="88"/>
      <c r="K251" s="86">
        <v>45809.0</v>
      </c>
      <c r="L251" s="49">
        <v>3.0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83" t="s">
        <v>2258</v>
      </c>
      <c r="B252" s="49" t="s">
        <v>1745</v>
      </c>
      <c r="C252" s="49" t="s">
        <v>1396</v>
      </c>
      <c r="D252" s="49" t="s">
        <v>57</v>
      </c>
      <c r="E252" s="49" t="s">
        <v>21</v>
      </c>
      <c r="F252" s="49" t="s">
        <v>1690</v>
      </c>
      <c r="G252" s="49" t="s">
        <v>85</v>
      </c>
      <c r="H252" s="49" t="s">
        <v>1743</v>
      </c>
      <c r="I252" s="84">
        <v>44713.0</v>
      </c>
      <c r="J252" s="88"/>
      <c r="K252" s="86">
        <v>45809.0</v>
      </c>
      <c r="L252" s="49">
        <v>3.0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83" t="s">
        <v>2259</v>
      </c>
      <c r="B253" s="49" t="s">
        <v>2260</v>
      </c>
      <c r="C253" s="49" t="s">
        <v>1932</v>
      </c>
      <c r="D253" s="49" t="s">
        <v>20</v>
      </c>
      <c r="E253" s="49" t="s">
        <v>21</v>
      </c>
      <c r="F253" s="49" t="s">
        <v>2261</v>
      </c>
      <c r="G253" s="49" t="s">
        <v>97</v>
      </c>
      <c r="H253" s="49" t="s">
        <v>1673</v>
      </c>
      <c r="I253" s="84">
        <v>45444.0</v>
      </c>
      <c r="J253" s="86">
        <v>46539.0</v>
      </c>
      <c r="K253" s="86">
        <v>47635.0</v>
      </c>
      <c r="L253" s="49">
        <v>4.0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47" t="s">
        <v>2262</v>
      </c>
      <c r="B254" s="48" t="s">
        <v>2004</v>
      </c>
      <c r="C254" s="48" t="s">
        <v>1972</v>
      </c>
      <c r="D254" s="48" t="s">
        <v>266</v>
      </c>
      <c r="E254" s="48" t="s">
        <v>21</v>
      </c>
      <c r="F254" s="48" t="s">
        <v>1675</v>
      </c>
      <c r="G254" s="48" t="s">
        <v>85</v>
      </c>
      <c r="H254" s="48" t="s">
        <v>1892</v>
      </c>
      <c r="I254" s="84">
        <v>45444.0</v>
      </c>
      <c r="J254" s="89"/>
      <c r="K254" s="86">
        <v>46539.0</v>
      </c>
      <c r="L254" s="49">
        <v>3.0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47" t="s">
        <v>2262</v>
      </c>
      <c r="B255" s="48" t="s">
        <v>2084</v>
      </c>
      <c r="C255" s="48" t="s">
        <v>61</v>
      </c>
      <c r="D255" s="48" t="s">
        <v>27</v>
      </c>
      <c r="E255" s="48" t="s">
        <v>21</v>
      </c>
      <c r="F255" s="48" t="s">
        <v>1675</v>
      </c>
      <c r="G255" s="48" t="s">
        <v>79</v>
      </c>
      <c r="H255" s="48" t="s">
        <v>1791</v>
      </c>
      <c r="I255" s="84">
        <v>45444.0</v>
      </c>
      <c r="J255" s="88"/>
      <c r="K255" s="86">
        <v>46539.0</v>
      </c>
      <c r="L255" s="49">
        <v>3.0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83" t="s">
        <v>2263</v>
      </c>
      <c r="B256" s="49" t="s">
        <v>2264</v>
      </c>
      <c r="C256" s="49" t="s">
        <v>2265</v>
      </c>
      <c r="D256" s="49" t="s">
        <v>521</v>
      </c>
      <c r="E256" s="49" t="s">
        <v>21</v>
      </c>
      <c r="F256" s="49" t="s">
        <v>1670</v>
      </c>
      <c r="G256" s="49">
        <v>2.0</v>
      </c>
      <c r="H256" s="49" t="s">
        <v>357</v>
      </c>
      <c r="I256" s="84">
        <v>45078.0</v>
      </c>
      <c r="J256" s="88"/>
      <c r="K256" s="86">
        <v>46174.0</v>
      </c>
      <c r="L256" s="49">
        <v>3.0</v>
      </c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83" t="s">
        <v>2266</v>
      </c>
      <c r="B257" s="49" t="s">
        <v>2267</v>
      </c>
      <c r="C257" s="49" t="s">
        <v>2268</v>
      </c>
      <c r="D257" s="49" t="s">
        <v>46</v>
      </c>
      <c r="E257" s="49" t="s">
        <v>21</v>
      </c>
      <c r="F257" s="49" t="s">
        <v>1697</v>
      </c>
      <c r="G257" s="49" t="s">
        <v>41</v>
      </c>
      <c r="H257" s="49" t="s">
        <v>98</v>
      </c>
      <c r="I257" s="84">
        <v>44713.0</v>
      </c>
      <c r="J257" s="88"/>
      <c r="K257" s="86">
        <v>45809.0</v>
      </c>
      <c r="L257" s="49">
        <v>3.0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47" t="s">
        <v>2269</v>
      </c>
      <c r="B258" s="48" t="s">
        <v>1766</v>
      </c>
      <c r="C258" s="48" t="s">
        <v>1535</v>
      </c>
      <c r="D258" s="48" t="s">
        <v>27</v>
      </c>
      <c r="E258" s="48" t="s">
        <v>21</v>
      </c>
      <c r="F258" s="48" t="s">
        <v>1666</v>
      </c>
      <c r="G258" s="48" t="s">
        <v>79</v>
      </c>
      <c r="H258" s="48" t="s">
        <v>1718</v>
      </c>
      <c r="I258" s="84">
        <v>45444.0</v>
      </c>
      <c r="J258" s="88"/>
      <c r="K258" s="86">
        <v>46539.0</v>
      </c>
      <c r="L258" s="49">
        <v>3.0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47" t="s">
        <v>2270</v>
      </c>
      <c r="B259" s="48" t="s">
        <v>2271</v>
      </c>
      <c r="C259" s="48" t="s">
        <v>2272</v>
      </c>
      <c r="D259" s="48" t="s">
        <v>137</v>
      </c>
      <c r="E259" s="48" t="s">
        <v>21</v>
      </c>
      <c r="F259" s="48" t="s">
        <v>1675</v>
      </c>
      <c r="G259" s="48" t="s">
        <v>41</v>
      </c>
      <c r="H259" s="48" t="s">
        <v>1714</v>
      </c>
      <c r="I259" s="84">
        <v>45444.0</v>
      </c>
      <c r="J259" s="88"/>
      <c r="K259" s="86">
        <v>46539.0</v>
      </c>
      <c r="L259" s="49">
        <v>3.0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47" t="s">
        <v>2273</v>
      </c>
      <c r="B260" s="48" t="s">
        <v>1763</v>
      </c>
      <c r="C260" s="48" t="s">
        <v>2274</v>
      </c>
      <c r="D260" s="48" t="s">
        <v>71</v>
      </c>
      <c r="E260" s="48" t="s">
        <v>21</v>
      </c>
      <c r="F260" s="48" t="s">
        <v>1666</v>
      </c>
      <c r="G260" s="48" t="s">
        <v>41</v>
      </c>
      <c r="H260" s="48" t="s">
        <v>1718</v>
      </c>
      <c r="I260" s="84">
        <v>45444.0</v>
      </c>
      <c r="J260" s="88"/>
      <c r="K260" s="86">
        <v>46539.0</v>
      </c>
      <c r="L260" s="49">
        <v>3.0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83" t="s">
        <v>2275</v>
      </c>
      <c r="B261" s="49" t="s">
        <v>2008</v>
      </c>
      <c r="C261" s="49" t="s">
        <v>761</v>
      </c>
      <c r="D261" s="49" t="s">
        <v>57</v>
      </c>
      <c r="E261" s="49" t="s">
        <v>21</v>
      </c>
      <c r="F261" s="49" t="s">
        <v>1680</v>
      </c>
      <c r="G261" s="49" t="s">
        <v>85</v>
      </c>
      <c r="H261" s="49" t="s">
        <v>1743</v>
      </c>
      <c r="I261" s="84">
        <v>44713.0</v>
      </c>
      <c r="J261" s="89"/>
      <c r="K261" s="86">
        <v>45809.0</v>
      </c>
      <c r="L261" s="49">
        <v>3.0</v>
      </c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83" t="s">
        <v>1441</v>
      </c>
      <c r="B262" s="49" t="s">
        <v>914</v>
      </c>
      <c r="C262" s="49" t="s">
        <v>916</v>
      </c>
      <c r="D262" s="49" t="s">
        <v>95</v>
      </c>
      <c r="E262" s="49" t="s">
        <v>21</v>
      </c>
      <c r="F262" s="49" t="s">
        <v>1690</v>
      </c>
      <c r="G262" s="49" t="s">
        <v>91</v>
      </c>
      <c r="H262" s="49" t="s">
        <v>337</v>
      </c>
      <c r="I262" s="84">
        <v>45444.0</v>
      </c>
      <c r="J262" s="89"/>
      <c r="K262" s="86">
        <v>46539.0</v>
      </c>
      <c r="L262" s="49">
        <v>3.0</v>
      </c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47" t="s">
        <v>2276</v>
      </c>
      <c r="B263" s="48" t="s">
        <v>1816</v>
      </c>
      <c r="C263" s="48" t="s">
        <v>1535</v>
      </c>
      <c r="D263" s="48" t="s">
        <v>27</v>
      </c>
      <c r="E263" s="48" t="s">
        <v>21</v>
      </c>
      <c r="F263" s="48" t="s">
        <v>1806</v>
      </c>
      <c r="G263" s="48" t="s">
        <v>85</v>
      </c>
      <c r="H263" s="48" t="s">
        <v>1718</v>
      </c>
      <c r="I263" s="84">
        <v>45444.0</v>
      </c>
      <c r="J263" s="88"/>
      <c r="K263" s="86">
        <v>46539.0</v>
      </c>
      <c r="L263" s="49">
        <v>3.0</v>
      </c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83" t="s">
        <v>259</v>
      </c>
      <c r="B264" s="49" t="s">
        <v>2178</v>
      </c>
      <c r="C264" s="49" t="s">
        <v>2277</v>
      </c>
      <c r="D264" s="49" t="s">
        <v>27</v>
      </c>
      <c r="E264" s="49" t="s">
        <v>21</v>
      </c>
      <c r="F264" s="49" t="s">
        <v>1680</v>
      </c>
      <c r="G264" s="49" t="s">
        <v>79</v>
      </c>
      <c r="H264" s="49" t="s">
        <v>1691</v>
      </c>
      <c r="I264" s="84">
        <v>43983.0</v>
      </c>
      <c r="J264" s="88"/>
      <c r="K264" s="86">
        <v>45809.0</v>
      </c>
      <c r="L264" s="49">
        <v>3.0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83" t="s">
        <v>2278</v>
      </c>
      <c r="B265" s="49" t="s">
        <v>2279</v>
      </c>
      <c r="C265" s="49" t="s">
        <v>2280</v>
      </c>
      <c r="D265" s="49" t="s">
        <v>152</v>
      </c>
      <c r="E265" s="49" t="s">
        <v>21</v>
      </c>
      <c r="F265" s="49" t="s">
        <v>2010</v>
      </c>
      <c r="G265" s="49" t="s">
        <v>91</v>
      </c>
      <c r="H265" s="49" t="s">
        <v>124</v>
      </c>
      <c r="I265" s="84">
        <v>43617.0</v>
      </c>
      <c r="J265" s="89"/>
      <c r="K265" s="86">
        <v>45809.0</v>
      </c>
      <c r="L265" s="49">
        <v>3.0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83" t="s">
        <v>2281</v>
      </c>
      <c r="B266" s="49" t="s">
        <v>2181</v>
      </c>
      <c r="C266" s="49" t="s">
        <v>479</v>
      </c>
      <c r="D266" s="49" t="s">
        <v>102</v>
      </c>
      <c r="E266" s="49" t="s">
        <v>21</v>
      </c>
      <c r="F266" s="49" t="s">
        <v>1684</v>
      </c>
      <c r="G266" s="49" t="s">
        <v>35</v>
      </c>
      <c r="H266" s="49" t="s">
        <v>124</v>
      </c>
      <c r="I266" s="84">
        <v>43617.0</v>
      </c>
      <c r="J266" s="89"/>
      <c r="K266" s="86">
        <v>45809.0</v>
      </c>
      <c r="L266" s="49">
        <v>3.0</v>
      </c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47" t="s">
        <v>2282</v>
      </c>
      <c r="B267" s="48" t="s">
        <v>1797</v>
      </c>
      <c r="C267" s="48" t="s">
        <v>2283</v>
      </c>
      <c r="D267" s="48" t="s">
        <v>275</v>
      </c>
      <c r="E267" s="48" t="s">
        <v>21</v>
      </c>
      <c r="F267" s="48" t="s">
        <v>1675</v>
      </c>
      <c r="G267" s="48" t="s">
        <v>41</v>
      </c>
      <c r="H267" s="48" t="s">
        <v>1892</v>
      </c>
      <c r="I267" s="84">
        <v>45444.0</v>
      </c>
      <c r="J267" s="89"/>
      <c r="K267" s="86">
        <v>46539.0</v>
      </c>
      <c r="L267" s="49">
        <v>3.0</v>
      </c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83" t="s">
        <v>2284</v>
      </c>
      <c r="B268" s="49" t="s">
        <v>2089</v>
      </c>
      <c r="C268" s="49" t="s">
        <v>2285</v>
      </c>
      <c r="D268" s="49" t="s">
        <v>595</v>
      </c>
      <c r="E268" s="49" t="s">
        <v>21</v>
      </c>
      <c r="F268" s="49" t="s">
        <v>1857</v>
      </c>
      <c r="G268" s="49" t="s">
        <v>85</v>
      </c>
      <c r="H268" s="49" t="s">
        <v>2118</v>
      </c>
      <c r="I268" s="84">
        <v>43983.0</v>
      </c>
      <c r="J268" s="89"/>
      <c r="K268" s="86">
        <v>45809.0</v>
      </c>
      <c r="L268" s="49">
        <v>3.0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83" t="s">
        <v>2286</v>
      </c>
      <c r="B269" s="49" t="s">
        <v>2287</v>
      </c>
      <c r="C269" s="49" t="s">
        <v>2288</v>
      </c>
      <c r="D269" s="49" t="s">
        <v>266</v>
      </c>
      <c r="E269" s="49" t="s">
        <v>21</v>
      </c>
      <c r="F269" s="49" t="s">
        <v>1973</v>
      </c>
      <c r="G269" s="49" t="s">
        <v>91</v>
      </c>
      <c r="H269" s="49" t="s">
        <v>36</v>
      </c>
      <c r="I269" s="84">
        <v>45078.0</v>
      </c>
      <c r="J269" s="86">
        <v>46539.0</v>
      </c>
      <c r="K269" s="86">
        <v>47635.0</v>
      </c>
      <c r="L269" s="49">
        <v>4.0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47" t="s">
        <v>2289</v>
      </c>
      <c r="B270" s="48" t="s">
        <v>1689</v>
      </c>
      <c r="C270" s="48" t="s">
        <v>2190</v>
      </c>
      <c r="D270" s="48" t="s">
        <v>430</v>
      </c>
      <c r="E270" s="48" t="s">
        <v>21</v>
      </c>
      <c r="F270" s="48" t="s">
        <v>1675</v>
      </c>
      <c r="G270" s="48" t="s">
        <v>41</v>
      </c>
      <c r="H270" s="48" t="s">
        <v>1777</v>
      </c>
      <c r="I270" s="84">
        <v>45444.0</v>
      </c>
      <c r="J270" s="89"/>
      <c r="K270" s="86">
        <v>46539.0</v>
      </c>
      <c r="L270" s="49">
        <v>3.0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83" t="s">
        <v>2290</v>
      </c>
      <c r="B271" s="49" t="s">
        <v>2291</v>
      </c>
      <c r="C271" s="49" t="s">
        <v>2292</v>
      </c>
      <c r="D271" s="49" t="s">
        <v>46</v>
      </c>
      <c r="E271" s="49" t="s">
        <v>21</v>
      </c>
      <c r="F271" s="49" t="s">
        <v>1903</v>
      </c>
      <c r="G271" s="49">
        <v>3.0</v>
      </c>
      <c r="H271" s="49" t="s">
        <v>48</v>
      </c>
      <c r="I271" s="84">
        <v>45078.0</v>
      </c>
      <c r="J271" s="86">
        <v>46174.0</v>
      </c>
      <c r="K271" s="86">
        <v>47270.0</v>
      </c>
      <c r="L271" s="49">
        <v>4.0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47" t="s">
        <v>2293</v>
      </c>
      <c r="B272" s="48" t="s">
        <v>501</v>
      </c>
      <c r="C272" s="48" t="s">
        <v>2294</v>
      </c>
      <c r="D272" s="48" t="s">
        <v>275</v>
      </c>
      <c r="E272" s="48" t="s">
        <v>21</v>
      </c>
      <c r="F272" s="48" t="s">
        <v>1806</v>
      </c>
      <c r="G272" s="48" t="s">
        <v>85</v>
      </c>
      <c r="H272" s="48" t="s">
        <v>1892</v>
      </c>
      <c r="I272" s="84">
        <v>45444.0</v>
      </c>
      <c r="J272" s="88"/>
      <c r="K272" s="86">
        <v>46539.0</v>
      </c>
      <c r="L272" s="49">
        <v>3.0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83" t="s">
        <v>2295</v>
      </c>
      <c r="B273" s="49" t="s">
        <v>2296</v>
      </c>
      <c r="C273" s="49" t="s">
        <v>598</v>
      </c>
      <c r="D273" s="49" t="s">
        <v>270</v>
      </c>
      <c r="E273" s="49" t="s">
        <v>21</v>
      </c>
      <c r="F273" s="49" t="s">
        <v>1680</v>
      </c>
      <c r="G273" s="49" t="s">
        <v>79</v>
      </c>
      <c r="H273" s="49" t="s">
        <v>1714</v>
      </c>
      <c r="I273" s="84">
        <v>45444.0</v>
      </c>
      <c r="J273" s="88"/>
      <c r="K273" s="86">
        <v>46539.0</v>
      </c>
      <c r="L273" s="49">
        <v>3.0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83" t="s">
        <v>2297</v>
      </c>
      <c r="B274" s="49" t="s">
        <v>2298</v>
      </c>
      <c r="C274" s="49" t="s">
        <v>2299</v>
      </c>
      <c r="D274" s="49" t="s">
        <v>20</v>
      </c>
      <c r="E274" s="49" t="s">
        <v>21</v>
      </c>
      <c r="F274" s="49" t="s">
        <v>1670</v>
      </c>
      <c r="G274" s="49">
        <v>2.0</v>
      </c>
      <c r="H274" s="49" t="s">
        <v>357</v>
      </c>
      <c r="I274" s="84">
        <v>45078.0</v>
      </c>
      <c r="J274" s="88"/>
      <c r="K274" s="86">
        <v>46174.0</v>
      </c>
      <c r="L274" s="49">
        <v>3.0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47" t="s">
        <v>2300</v>
      </c>
      <c r="B275" s="48" t="s">
        <v>2301</v>
      </c>
      <c r="C275" s="48" t="s">
        <v>356</v>
      </c>
      <c r="D275" s="48" t="s">
        <v>137</v>
      </c>
      <c r="E275" s="48" t="s">
        <v>21</v>
      </c>
      <c r="F275" s="48" t="s">
        <v>1666</v>
      </c>
      <c r="G275" s="48" t="s">
        <v>85</v>
      </c>
      <c r="H275" s="48" t="s">
        <v>1714</v>
      </c>
      <c r="I275" s="84">
        <v>45444.0</v>
      </c>
      <c r="J275" s="89"/>
      <c r="K275" s="86">
        <v>46539.0</v>
      </c>
      <c r="L275" s="49">
        <v>3.0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83" t="s">
        <v>2302</v>
      </c>
      <c r="B276" s="49" t="s">
        <v>1720</v>
      </c>
      <c r="C276" s="49" t="s">
        <v>1454</v>
      </c>
      <c r="D276" s="49" t="s">
        <v>128</v>
      </c>
      <c r="E276" s="49" t="s">
        <v>21</v>
      </c>
      <c r="F276" s="49" t="s">
        <v>1680</v>
      </c>
      <c r="G276" s="49" t="s">
        <v>85</v>
      </c>
      <c r="H276" s="49" t="s">
        <v>1761</v>
      </c>
      <c r="I276" s="84">
        <v>44713.0</v>
      </c>
      <c r="J276" s="89"/>
      <c r="K276" s="86">
        <v>45809.0</v>
      </c>
      <c r="L276" s="49">
        <v>3.0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83" t="s">
        <v>1508</v>
      </c>
      <c r="B277" s="49" t="s">
        <v>2303</v>
      </c>
      <c r="C277" s="49" t="s">
        <v>205</v>
      </c>
      <c r="D277" s="49" t="s">
        <v>137</v>
      </c>
      <c r="E277" s="49" t="s">
        <v>21</v>
      </c>
      <c r="F277" s="49" t="s">
        <v>2304</v>
      </c>
      <c r="G277" s="49">
        <v>2.0</v>
      </c>
      <c r="H277" s="49" t="s">
        <v>48</v>
      </c>
      <c r="I277" s="84">
        <v>45078.0</v>
      </c>
      <c r="J277" s="86">
        <v>46174.0</v>
      </c>
      <c r="K277" s="86">
        <v>47270.0</v>
      </c>
      <c r="L277" s="49">
        <v>4.0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83" t="s">
        <v>2305</v>
      </c>
      <c r="B278" s="49" t="s">
        <v>2306</v>
      </c>
      <c r="C278" s="49" t="s">
        <v>2307</v>
      </c>
      <c r="D278" s="49" t="s">
        <v>851</v>
      </c>
      <c r="E278" s="49" t="s">
        <v>97</v>
      </c>
      <c r="F278" s="49" t="s">
        <v>950</v>
      </c>
      <c r="G278" s="49" t="s">
        <v>457</v>
      </c>
      <c r="H278" s="49" t="s">
        <v>36</v>
      </c>
      <c r="I278" s="84">
        <v>44713.0</v>
      </c>
      <c r="J278" s="86">
        <v>46539.0</v>
      </c>
      <c r="K278" s="86">
        <v>47635.0</v>
      </c>
      <c r="L278" s="49">
        <v>4.0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83" t="s">
        <v>219</v>
      </c>
      <c r="B279" s="95" t="s">
        <v>2308</v>
      </c>
      <c r="C279" s="96"/>
      <c r="D279" s="96"/>
      <c r="E279" s="96"/>
      <c r="F279" s="95" t="s">
        <v>119</v>
      </c>
      <c r="G279" s="96"/>
      <c r="H279" s="96"/>
      <c r="I279" s="84">
        <v>45444.0</v>
      </c>
      <c r="J279" s="86">
        <v>46539.0</v>
      </c>
      <c r="K279" s="86">
        <v>47635.0</v>
      </c>
      <c r="L279" s="49">
        <v>4.0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93" t="s">
        <v>2309</v>
      </c>
      <c r="B280" s="94" t="s">
        <v>1671</v>
      </c>
      <c r="C280" s="94" t="s">
        <v>2310</v>
      </c>
      <c r="D280" s="94" t="s">
        <v>137</v>
      </c>
      <c r="E280" s="94" t="s">
        <v>21</v>
      </c>
      <c r="F280" s="94" t="s">
        <v>1806</v>
      </c>
      <c r="G280" s="94" t="s">
        <v>85</v>
      </c>
      <c r="H280" s="94" t="s">
        <v>1676</v>
      </c>
      <c r="I280" s="97">
        <v>45444.0</v>
      </c>
      <c r="J280" s="98">
        <v>46174.0</v>
      </c>
      <c r="K280" s="98">
        <v>47270.0</v>
      </c>
      <c r="L280" s="94">
        <v>4.0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99" t="s">
        <v>2311</v>
      </c>
      <c r="B281" s="82" t="s">
        <v>219</v>
      </c>
      <c r="C281" s="82" t="s">
        <v>1530</v>
      </c>
      <c r="D281" s="82" t="s">
        <v>137</v>
      </c>
      <c r="E281" s="82" t="s">
        <v>21</v>
      </c>
      <c r="F281" s="82" t="s">
        <v>2003</v>
      </c>
      <c r="G281" s="82" t="s">
        <v>35</v>
      </c>
      <c r="H281" s="82" t="s">
        <v>36</v>
      </c>
      <c r="I281" s="79">
        <v>45444.0</v>
      </c>
      <c r="J281" s="81">
        <v>46539.0</v>
      </c>
      <c r="K281" s="81">
        <v>47635.0</v>
      </c>
      <c r="L281" s="82">
        <v>4.0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83" t="s">
        <v>2312</v>
      </c>
      <c r="B282" s="49" t="s">
        <v>1729</v>
      </c>
      <c r="C282" s="49" t="s">
        <v>2313</v>
      </c>
      <c r="D282" s="49" t="s">
        <v>1069</v>
      </c>
      <c r="E282" s="49" t="s">
        <v>21</v>
      </c>
      <c r="F282" s="49" t="s">
        <v>1806</v>
      </c>
      <c r="G282" s="49">
        <v>1.0</v>
      </c>
      <c r="H282" s="49" t="s">
        <v>1676</v>
      </c>
      <c r="I282" s="84">
        <v>45444.0</v>
      </c>
      <c r="J282" s="86">
        <v>46174.0</v>
      </c>
      <c r="K282" s="86">
        <v>47270.0</v>
      </c>
      <c r="L282" s="49">
        <v>4.0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83" t="s">
        <v>2314</v>
      </c>
      <c r="B283" s="49" t="s">
        <v>1763</v>
      </c>
      <c r="C283" s="49" t="s">
        <v>2315</v>
      </c>
      <c r="D283" s="49" t="s">
        <v>46</v>
      </c>
      <c r="E283" s="49" t="s">
        <v>21</v>
      </c>
      <c r="F283" s="49" t="s">
        <v>1670</v>
      </c>
      <c r="G283" s="49">
        <v>1.0</v>
      </c>
      <c r="H283" s="49" t="s">
        <v>279</v>
      </c>
      <c r="I283" s="84">
        <v>45078.0</v>
      </c>
      <c r="J283" s="89"/>
      <c r="K283" s="86">
        <v>46174.0</v>
      </c>
      <c r="L283" s="49">
        <v>3.0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47" t="s">
        <v>2314</v>
      </c>
      <c r="B284" s="48" t="s">
        <v>2316</v>
      </c>
      <c r="C284" s="48" t="s">
        <v>2317</v>
      </c>
      <c r="D284" s="48" t="s">
        <v>46</v>
      </c>
      <c r="E284" s="48" t="s">
        <v>21</v>
      </c>
      <c r="F284" s="48" t="s">
        <v>1666</v>
      </c>
      <c r="G284" s="48" t="s">
        <v>79</v>
      </c>
      <c r="H284" s="48" t="s">
        <v>1714</v>
      </c>
      <c r="I284" s="84">
        <v>45444.0</v>
      </c>
      <c r="J284" s="88"/>
      <c r="K284" s="86">
        <v>46539.0</v>
      </c>
      <c r="L284" s="49">
        <v>3.0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83" t="s">
        <v>2318</v>
      </c>
      <c r="B285" s="49" t="s">
        <v>2319</v>
      </c>
      <c r="C285" s="49" t="s">
        <v>2320</v>
      </c>
      <c r="D285" s="49" t="s">
        <v>46</v>
      </c>
      <c r="E285" s="49" t="s">
        <v>21</v>
      </c>
      <c r="F285" s="49" t="s">
        <v>1772</v>
      </c>
      <c r="G285" s="49" t="s">
        <v>91</v>
      </c>
      <c r="H285" s="49" t="s">
        <v>36</v>
      </c>
      <c r="I285" s="84">
        <v>45078.0</v>
      </c>
      <c r="J285" s="86">
        <v>46539.0</v>
      </c>
      <c r="K285" s="86">
        <v>47635.0</v>
      </c>
      <c r="L285" s="49">
        <v>4.0</v>
      </c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83" t="s">
        <v>1552</v>
      </c>
      <c r="B286" s="49" t="s">
        <v>2321</v>
      </c>
      <c r="C286" s="49" t="s">
        <v>1182</v>
      </c>
      <c r="D286" s="49" t="s">
        <v>95</v>
      </c>
      <c r="E286" s="49" t="s">
        <v>21</v>
      </c>
      <c r="F286" s="49" t="s">
        <v>1670</v>
      </c>
      <c r="G286" s="49">
        <v>1.0</v>
      </c>
      <c r="H286" s="49" t="s">
        <v>224</v>
      </c>
      <c r="I286" s="84">
        <v>45078.0</v>
      </c>
      <c r="J286" s="89"/>
      <c r="K286" s="86">
        <v>46174.0</v>
      </c>
      <c r="L286" s="49">
        <v>3.0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83" t="s">
        <v>2322</v>
      </c>
      <c r="B287" s="49" t="s">
        <v>1979</v>
      </c>
      <c r="C287" s="49" t="s">
        <v>390</v>
      </c>
      <c r="D287" s="49" t="s">
        <v>102</v>
      </c>
      <c r="E287" s="49" t="s">
        <v>21</v>
      </c>
      <c r="F287" s="49" t="s">
        <v>1880</v>
      </c>
      <c r="G287" s="49">
        <v>4.0</v>
      </c>
      <c r="H287" s="49" t="s">
        <v>48</v>
      </c>
      <c r="I287" s="84">
        <v>45078.0</v>
      </c>
      <c r="J287" s="89"/>
      <c r="K287" s="86">
        <v>46174.0</v>
      </c>
      <c r="L287" s="49">
        <v>3.0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83" t="s">
        <v>2323</v>
      </c>
      <c r="B288" s="49" t="s">
        <v>2324</v>
      </c>
      <c r="C288" s="49" t="s">
        <v>1041</v>
      </c>
      <c r="D288" s="49" t="s">
        <v>1042</v>
      </c>
      <c r="E288" s="49" t="s">
        <v>21</v>
      </c>
      <c r="F288" s="49" t="s">
        <v>40</v>
      </c>
      <c r="G288" s="49" t="s">
        <v>79</v>
      </c>
      <c r="H288" s="49" t="s">
        <v>98</v>
      </c>
      <c r="I288" s="86">
        <v>44713.0</v>
      </c>
      <c r="J288" s="89"/>
      <c r="K288" s="86">
        <v>45809.0</v>
      </c>
      <c r="L288" s="49">
        <v>3.0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47" t="s">
        <v>2325</v>
      </c>
      <c r="B289" s="48" t="s">
        <v>501</v>
      </c>
      <c r="C289" s="48" t="s">
        <v>2326</v>
      </c>
      <c r="D289" s="48" t="s">
        <v>266</v>
      </c>
      <c r="E289" s="48" t="s">
        <v>21</v>
      </c>
      <c r="F289" s="48" t="s">
        <v>1806</v>
      </c>
      <c r="G289" s="48" t="s">
        <v>41</v>
      </c>
      <c r="H289" s="48" t="s">
        <v>1892</v>
      </c>
      <c r="I289" s="86">
        <v>45444.0</v>
      </c>
      <c r="J289" s="89"/>
      <c r="K289" s="86">
        <v>46539.0</v>
      </c>
      <c r="L289" s="49">
        <v>3.0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83" t="s">
        <v>2327</v>
      </c>
      <c r="B290" s="49" t="s">
        <v>2328</v>
      </c>
      <c r="C290" s="89"/>
      <c r="D290" s="49" t="s">
        <v>305</v>
      </c>
      <c r="E290" s="49" t="s">
        <v>305</v>
      </c>
      <c r="F290" s="49" t="s">
        <v>119</v>
      </c>
      <c r="G290" s="89"/>
      <c r="H290" s="89"/>
      <c r="I290" s="86">
        <v>45444.0</v>
      </c>
      <c r="J290" s="86">
        <v>46539.0</v>
      </c>
      <c r="K290" s="86">
        <v>47635.0</v>
      </c>
      <c r="L290" s="49">
        <v>4.0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47" t="s">
        <v>2329</v>
      </c>
      <c r="B291" s="48" t="s">
        <v>2319</v>
      </c>
      <c r="C291" s="48" t="s">
        <v>2330</v>
      </c>
      <c r="D291" s="48" t="s">
        <v>84</v>
      </c>
      <c r="E291" s="48" t="s">
        <v>21</v>
      </c>
      <c r="F291" s="48" t="s">
        <v>1666</v>
      </c>
      <c r="G291" s="48" t="s">
        <v>41</v>
      </c>
      <c r="H291" s="48" t="s">
        <v>337</v>
      </c>
      <c r="I291" s="86">
        <v>45444.0</v>
      </c>
      <c r="J291" s="89"/>
      <c r="K291" s="86">
        <v>46539.0</v>
      </c>
      <c r="L291" s="49">
        <v>3.0</v>
      </c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83" t="s">
        <v>2331</v>
      </c>
      <c r="B292" s="49" t="s">
        <v>2332</v>
      </c>
      <c r="C292" s="89"/>
      <c r="D292" s="89"/>
      <c r="E292" s="49" t="s">
        <v>21</v>
      </c>
      <c r="F292" s="89"/>
      <c r="G292" s="89"/>
      <c r="H292" s="49" t="s">
        <v>188</v>
      </c>
      <c r="I292" s="86">
        <v>44348.0</v>
      </c>
      <c r="J292" s="89"/>
      <c r="K292" s="86">
        <v>46539.0</v>
      </c>
      <c r="L292" s="49">
        <v>3.0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83" t="s">
        <v>2333</v>
      </c>
      <c r="B293" s="49" t="s">
        <v>2049</v>
      </c>
      <c r="C293" s="49" t="s">
        <v>2334</v>
      </c>
      <c r="D293" s="49" t="s">
        <v>65</v>
      </c>
      <c r="E293" s="49" t="s">
        <v>21</v>
      </c>
      <c r="F293" s="49" t="s">
        <v>1735</v>
      </c>
      <c r="G293" s="49" t="s">
        <v>41</v>
      </c>
      <c r="H293" s="49" t="s">
        <v>1667</v>
      </c>
      <c r="I293" s="86">
        <v>45444.0</v>
      </c>
      <c r="J293" s="89"/>
      <c r="K293" s="86">
        <v>46539.0</v>
      </c>
      <c r="L293" s="49">
        <v>3.0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83" t="s">
        <v>2335</v>
      </c>
      <c r="B294" s="49" t="s">
        <v>1720</v>
      </c>
      <c r="C294" s="49" t="s">
        <v>2336</v>
      </c>
      <c r="D294" s="49" t="s">
        <v>20</v>
      </c>
      <c r="E294" s="49" t="s">
        <v>21</v>
      </c>
      <c r="F294" s="49" t="s">
        <v>1690</v>
      </c>
      <c r="G294" s="49" t="s">
        <v>85</v>
      </c>
      <c r="H294" s="49" t="s">
        <v>1820</v>
      </c>
      <c r="I294" s="86">
        <v>45444.0</v>
      </c>
      <c r="J294" s="89"/>
      <c r="K294" s="86">
        <v>46539.0</v>
      </c>
      <c r="L294" s="49">
        <v>3.0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83" t="s">
        <v>2337</v>
      </c>
      <c r="B295" s="49" t="s">
        <v>2338</v>
      </c>
      <c r="C295" s="49" t="s">
        <v>2339</v>
      </c>
      <c r="D295" s="49" t="s">
        <v>46</v>
      </c>
      <c r="E295" s="49" t="s">
        <v>21</v>
      </c>
      <c r="F295" s="49" t="s">
        <v>2012</v>
      </c>
      <c r="G295" s="49">
        <v>2.0</v>
      </c>
      <c r="H295" s="49" t="s">
        <v>48</v>
      </c>
      <c r="I295" s="86">
        <v>45078.0</v>
      </c>
      <c r="J295" s="86">
        <v>46174.0</v>
      </c>
      <c r="K295" s="86">
        <v>47270.0</v>
      </c>
      <c r="L295" s="49">
        <v>4.0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83" t="s">
        <v>2340</v>
      </c>
      <c r="B296" s="49" t="s">
        <v>2341</v>
      </c>
      <c r="C296" s="49" t="s">
        <v>2342</v>
      </c>
      <c r="D296" s="49" t="s">
        <v>27</v>
      </c>
      <c r="E296" s="49" t="s">
        <v>21</v>
      </c>
      <c r="F296" s="49" t="s">
        <v>1703</v>
      </c>
      <c r="G296" s="49" t="s">
        <v>41</v>
      </c>
      <c r="H296" s="49" t="s">
        <v>98</v>
      </c>
      <c r="I296" s="86">
        <v>44713.0</v>
      </c>
      <c r="J296" s="86">
        <v>45809.0</v>
      </c>
      <c r="K296" s="86">
        <v>46905.0</v>
      </c>
      <c r="L296" s="49">
        <v>4.0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47" t="s">
        <v>2343</v>
      </c>
      <c r="B297" s="48" t="s">
        <v>1434</v>
      </c>
      <c r="C297" s="48" t="s">
        <v>1659</v>
      </c>
      <c r="D297" s="48" t="s">
        <v>275</v>
      </c>
      <c r="E297" s="49" t="s">
        <v>21</v>
      </c>
      <c r="F297" s="48" t="s">
        <v>1672</v>
      </c>
      <c r="G297" s="48" t="s">
        <v>97</v>
      </c>
      <c r="H297" s="48" t="s">
        <v>1673</v>
      </c>
      <c r="I297" s="86">
        <v>45444.0</v>
      </c>
      <c r="J297" s="89"/>
      <c r="K297" s="86">
        <v>46539.0</v>
      </c>
      <c r="L297" s="49">
        <v>3.0</v>
      </c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47" t="s">
        <v>2344</v>
      </c>
      <c r="B298" s="48" t="s">
        <v>2345</v>
      </c>
      <c r="C298" s="48" t="s">
        <v>2346</v>
      </c>
      <c r="D298" s="48" t="s">
        <v>595</v>
      </c>
      <c r="E298" s="48" t="s">
        <v>21</v>
      </c>
      <c r="F298" s="48" t="s">
        <v>1666</v>
      </c>
      <c r="G298" s="48" t="s">
        <v>79</v>
      </c>
      <c r="H298" s="48" t="s">
        <v>337</v>
      </c>
      <c r="I298" s="86">
        <v>45444.0</v>
      </c>
      <c r="J298" s="89"/>
      <c r="K298" s="86">
        <v>46539.0</v>
      </c>
      <c r="L298" s="49">
        <v>3.0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83" t="s">
        <v>2347</v>
      </c>
      <c r="B299" s="49" t="s">
        <v>2348</v>
      </c>
      <c r="C299" s="89"/>
      <c r="D299" s="89"/>
      <c r="E299" s="49" t="s">
        <v>21</v>
      </c>
      <c r="F299" s="49" t="s">
        <v>119</v>
      </c>
      <c r="G299" s="89"/>
      <c r="H299" s="89"/>
      <c r="I299" s="86">
        <v>44348.0</v>
      </c>
      <c r="J299" s="86">
        <v>46388.0</v>
      </c>
      <c r="K299" s="86">
        <v>47635.0</v>
      </c>
      <c r="L299" s="49">
        <v>4.0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47" t="s">
        <v>2349</v>
      </c>
      <c r="B300" s="48" t="s">
        <v>2350</v>
      </c>
      <c r="C300" s="48" t="s">
        <v>2351</v>
      </c>
      <c r="D300" s="48" t="s">
        <v>137</v>
      </c>
      <c r="E300" s="48" t="s">
        <v>21</v>
      </c>
      <c r="F300" s="48" t="s">
        <v>1666</v>
      </c>
      <c r="G300" s="48" t="s">
        <v>79</v>
      </c>
      <c r="H300" s="48" t="s">
        <v>1791</v>
      </c>
      <c r="I300" s="86">
        <v>45444.0</v>
      </c>
      <c r="J300" s="89"/>
      <c r="K300" s="86">
        <v>46539.0</v>
      </c>
      <c r="L300" s="49">
        <v>3.0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83" t="s">
        <v>2352</v>
      </c>
      <c r="B301" s="49" t="s">
        <v>2220</v>
      </c>
      <c r="C301" s="49" t="s">
        <v>341</v>
      </c>
      <c r="D301" s="49" t="s">
        <v>65</v>
      </c>
      <c r="E301" s="49" t="s">
        <v>21</v>
      </c>
      <c r="F301" s="49" t="s">
        <v>1680</v>
      </c>
      <c r="G301" s="49" t="s">
        <v>41</v>
      </c>
      <c r="H301" s="49" t="s">
        <v>1782</v>
      </c>
      <c r="I301" s="86">
        <v>44713.0</v>
      </c>
      <c r="J301" s="89"/>
      <c r="K301" s="86">
        <v>45809.0</v>
      </c>
      <c r="L301" s="49">
        <v>3.0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83" t="s">
        <v>1623</v>
      </c>
      <c r="B302" s="49" t="s">
        <v>2353</v>
      </c>
      <c r="C302" s="49" t="s">
        <v>2354</v>
      </c>
      <c r="D302" s="49" t="s">
        <v>1212</v>
      </c>
      <c r="E302" s="49" t="s">
        <v>21</v>
      </c>
      <c r="F302" s="49" t="s">
        <v>1670</v>
      </c>
      <c r="G302" s="49">
        <v>2.0</v>
      </c>
      <c r="H302" s="49" t="s">
        <v>202</v>
      </c>
      <c r="I302" s="86">
        <v>45078.0</v>
      </c>
      <c r="J302" s="89"/>
      <c r="K302" s="86">
        <v>46174.0</v>
      </c>
      <c r="L302" s="49">
        <v>3.0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83" t="s">
        <v>2355</v>
      </c>
      <c r="B303" s="49" t="s">
        <v>2356</v>
      </c>
      <c r="C303" s="49" t="s">
        <v>2357</v>
      </c>
      <c r="D303" s="49" t="s">
        <v>430</v>
      </c>
      <c r="E303" s="49" t="s">
        <v>21</v>
      </c>
      <c r="F303" s="49" t="s">
        <v>2358</v>
      </c>
      <c r="G303" s="49" t="s">
        <v>85</v>
      </c>
      <c r="H303" s="49" t="s">
        <v>98</v>
      </c>
      <c r="I303" s="86">
        <v>44713.0</v>
      </c>
      <c r="J303" s="86">
        <v>45809.0</v>
      </c>
      <c r="K303" s="86">
        <v>46905.0</v>
      </c>
      <c r="L303" s="49">
        <v>4.0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47" t="s">
        <v>2359</v>
      </c>
      <c r="B304" s="48" t="s">
        <v>2360</v>
      </c>
      <c r="C304" s="48" t="s">
        <v>2361</v>
      </c>
      <c r="D304" s="48" t="s">
        <v>102</v>
      </c>
      <c r="E304" s="49" t="s">
        <v>21</v>
      </c>
      <c r="F304" s="48" t="s">
        <v>1672</v>
      </c>
      <c r="G304" s="48" t="s">
        <v>79</v>
      </c>
      <c r="H304" s="48" t="s">
        <v>1673</v>
      </c>
      <c r="I304" s="86">
        <v>45444.0</v>
      </c>
      <c r="J304" s="89"/>
      <c r="K304" s="86">
        <v>46539.0</v>
      </c>
      <c r="L304" s="49">
        <v>3.0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83" t="s">
        <v>2362</v>
      </c>
      <c r="B305" s="49" t="s">
        <v>2363</v>
      </c>
      <c r="C305" s="49" t="s">
        <v>2364</v>
      </c>
      <c r="D305" s="49" t="s">
        <v>46</v>
      </c>
      <c r="E305" s="49" t="s">
        <v>21</v>
      </c>
      <c r="F305" s="49" t="s">
        <v>1675</v>
      </c>
      <c r="G305" s="49" t="s">
        <v>85</v>
      </c>
      <c r="H305" s="48" t="s">
        <v>1676</v>
      </c>
      <c r="I305" s="86">
        <v>45444.0</v>
      </c>
      <c r="J305" s="89"/>
      <c r="K305" s="86">
        <v>46539.0</v>
      </c>
      <c r="L305" s="49">
        <v>3.0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83" t="s">
        <v>1641</v>
      </c>
      <c r="B306" s="49" t="s">
        <v>2365</v>
      </c>
      <c r="C306" s="49" t="s">
        <v>2366</v>
      </c>
      <c r="D306" s="49" t="s">
        <v>20</v>
      </c>
      <c r="E306" s="49" t="s">
        <v>21</v>
      </c>
      <c r="F306" s="49" t="s">
        <v>1690</v>
      </c>
      <c r="G306" s="49" t="s">
        <v>79</v>
      </c>
      <c r="H306" s="49" t="s">
        <v>1731</v>
      </c>
      <c r="I306" s="86">
        <v>44713.0</v>
      </c>
      <c r="J306" s="89"/>
      <c r="K306" s="86">
        <v>45809.0</v>
      </c>
      <c r="L306" s="49">
        <v>3.0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83" t="s">
        <v>2367</v>
      </c>
      <c r="B307" s="49" t="s">
        <v>1951</v>
      </c>
      <c r="C307" s="49" t="s">
        <v>122</v>
      </c>
      <c r="D307" s="49" t="s">
        <v>20</v>
      </c>
      <c r="E307" s="49" t="s">
        <v>21</v>
      </c>
      <c r="F307" s="49" t="s">
        <v>1781</v>
      </c>
      <c r="G307" s="49" t="s">
        <v>85</v>
      </c>
      <c r="H307" s="49" t="s">
        <v>1731</v>
      </c>
      <c r="I307" s="86">
        <v>44713.0</v>
      </c>
      <c r="J307" s="89"/>
      <c r="K307" s="86">
        <v>45809.0</v>
      </c>
      <c r="L307" s="49">
        <v>3.0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83" t="s">
        <v>2368</v>
      </c>
      <c r="B308" s="49" t="s">
        <v>1742</v>
      </c>
      <c r="C308" s="49" t="s">
        <v>2369</v>
      </c>
      <c r="D308" s="49" t="s">
        <v>46</v>
      </c>
      <c r="E308" s="49" t="s">
        <v>21</v>
      </c>
      <c r="F308" s="49" t="s">
        <v>1680</v>
      </c>
      <c r="G308" s="49">
        <v>1.0</v>
      </c>
      <c r="H308" s="49" t="s">
        <v>279</v>
      </c>
      <c r="I308" s="86">
        <v>45078.0</v>
      </c>
      <c r="J308" s="89"/>
      <c r="K308" s="86">
        <v>46174.0</v>
      </c>
      <c r="L308" s="49">
        <v>3.0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83" t="s">
        <v>2370</v>
      </c>
      <c r="B309" s="49" t="s">
        <v>2175</v>
      </c>
      <c r="C309" s="49" t="s">
        <v>757</v>
      </c>
      <c r="D309" s="49" t="s">
        <v>57</v>
      </c>
      <c r="E309" s="49" t="s">
        <v>21</v>
      </c>
      <c r="F309" s="49" t="s">
        <v>2371</v>
      </c>
      <c r="G309" s="90">
        <v>45355.0</v>
      </c>
      <c r="H309" s="49" t="s">
        <v>48</v>
      </c>
      <c r="I309" s="86">
        <v>45078.0</v>
      </c>
      <c r="J309" s="86">
        <v>46174.0</v>
      </c>
      <c r="K309" s="86">
        <v>47270.0</v>
      </c>
      <c r="L309" s="49">
        <v>4.0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47" t="s">
        <v>1654</v>
      </c>
      <c r="B310" s="48" t="s">
        <v>2372</v>
      </c>
      <c r="C310" s="48" t="s">
        <v>2098</v>
      </c>
      <c r="D310" s="48" t="s">
        <v>163</v>
      </c>
      <c r="E310" s="48" t="s">
        <v>21</v>
      </c>
      <c r="F310" s="48" t="s">
        <v>1885</v>
      </c>
      <c r="G310" s="48" t="s">
        <v>41</v>
      </c>
      <c r="H310" s="48" t="s">
        <v>1673</v>
      </c>
      <c r="I310" s="86">
        <v>45444.0</v>
      </c>
      <c r="J310" s="89"/>
      <c r="K310" s="86">
        <v>46539.0</v>
      </c>
      <c r="L310" s="49">
        <v>3.0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83" t="s">
        <v>2373</v>
      </c>
      <c r="B311" s="49" t="s">
        <v>2374</v>
      </c>
      <c r="C311" s="49" t="s">
        <v>611</v>
      </c>
      <c r="D311" s="49" t="s">
        <v>65</v>
      </c>
      <c r="E311" s="49" t="s">
        <v>21</v>
      </c>
      <c r="F311" s="49" t="s">
        <v>1670</v>
      </c>
      <c r="G311" s="49">
        <v>3.0</v>
      </c>
      <c r="H311" s="49" t="s">
        <v>271</v>
      </c>
      <c r="I311" s="86">
        <v>45078.0</v>
      </c>
      <c r="J311" s="89"/>
      <c r="K311" s="86">
        <v>46174.0</v>
      </c>
      <c r="L311" s="49">
        <v>3.0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83" t="s">
        <v>2375</v>
      </c>
      <c r="B312" s="49" t="s">
        <v>1434</v>
      </c>
      <c r="C312" s="49" t="s">
        <v>1360</v>
      </c>
      <c r="D312" s="49" t="s">
        <v>192</v>
      </c>
      <c r="E312" s="49" t="s">
        <v>21</v>
      </c>
      <c r="F312" s="49" t="s">
        <v>2116</v>
      </c>
      <c r="G312" s="49" t="s">
        <v>85</v>
      </c>
      <c r="H312" s="49" t="s">
        <v>98</v>
      </c>
      <c r="I312" s="86">
        <v>44713.0</v>
      </c>
      <c r="J312" s="89"/>
      <c r="K312" s="86">
        <v>45809.0</v>
      </c>
      <c r="L312" s="49">
        <v>3.0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22"/>
      <c r="B313" s="3"/>
      <c r="C313" s="3"/>
      <c r="D313" s="100"/>
      <c r="E313" s="3"/>
      <c r="F313" s="3"/>
      <c r="G313" s="3"/>
      <c r="H313" s="3"/>
      <c r="I313" s="2"/>
      <c r="J313" s="2"/>
      <c r="K313" s="2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22"/>
      <c r="B314" s="3"/>
      <c r="C314" s="3"/>
      <c r="D314" s="100"/>
      <c r="E314" s="3"/>
      <c r="F314" s="3"/>
      <c r="G314" s="3"/>
      <c r="H314" s="3"/>
      <c r="I314" s="2"/>
      <c r="J314" s="2"/>
      <c r="K314" s="2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22"/>
      <c r="B315" s="3"/>
      <c r="C315" s="3"/>
      <c r="D315" s="100"/>
      <c r="E315" s="3"/>
      <c r="F315" s="3"/>
      <c r="G315" s="3"/>
      <c r="H315" s="3"/>
      <c r="I315" s="2"/>
      <c r="J315" s="2"/>
      <c r="K315" s="2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22"/>
      <c r="B316" s="3"/>
      <c r="C316" s="3"/>
      <c r="D316" s="100"/>
      <c r="E316" s="3"/>
      <c r="F316" s="3"/>
      <c r="G316" s="3"/>
      <c r="H316" s="3"/>
      <c r="I316" s="2"/>
      <c r="J316" s="2"/>
      <c r="K316" s="2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22"/>
      <c r="B317" s="3"/>
      <c r="C317" s="3"/>
      <c r="D317" s="100"/>
      <c r="E317" s="3"/>
      <c r="F317" s="3"/>
      <c r="G317" s="3"/>
      <c r="H317" s="3"/>
      <c r="I317" s="2"/>
      <c r="J317" s="2"/>
      <c r="K317" s="2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22"/>
      <c r="B318" s="3"/>
      <c r="C318" s="3"/>
      <c r="D318" s="100"/>
      <c r="E318" s="3"/>
      <c r="F318" s="3"/>
      <c r="G318" s="3"/>
      <c r="H318" s="3"/>
      <c r="I318" s="2"/>
      <c r="J318" s="2"/>
      <c r="K318" s="2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22"/>
      <c r="B319" s="3"/>
      <c r="C319" s="3"/>
      <c r="D319" s="100"/>
      <c r="E319" s="3"/>
      <c r="F319" s="3"/>
      <c r="G319" s="3"/>
      <c r="H319" s="3"/>
      <c r="I319" s="2"/>
      <c r="J319" s="2"/>
      <c r="K319" s="2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22"/>
      <c r="B320" s="3"/>
      <c r="C320" s="3"/>
      <c r="D320" s="100"/>
      <c r="E320" s="3"/>
      <c r="F320" s="3"/>
      <c r="G320" s="3"/>
      <c r="H320" s="3"/>
      <c r="I320" s="2"/>
      <c r="J320" s="2"/>
      <c r="K320" s="2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22"/>
      <c r="B321" s="3"/>
      <c r="C321" s="3"/>
      <c r="D321" s="100"/>
      <c r="E321" s="3"/>
      <c r="F321" s="3"/>
      <c r="G321" s="3"/>
      <c r="H321" s="3"/>
      <c r="I321" s="2"/>
      <c r="J321" s="2"/>
      <c r="K321" s="2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22"/>
      <c r="B322" s="3"/>
      <c r="C322" s="3"/>
      <c r="D322" s="100"/>
      <c r="E322" s="3"/>
      <c r="F322" s="3"/>
      <c r="G322" s="3"/>
      <c r="H322" s="3"/>
      <c r="I322" s="2"/>
      <c r="J322" s="2"/>
      <c r="K322" s="2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22"/>
      <c r="B323" s="3"/>
      <c r="C323" s="3"/>
      <c r="D323" s="100"/>
      <c r="E323" s="3"/>
      <c r="F323" s="3"/>
      <c r="G323" s="3"/>
      <c r="H323" s="3"/>
      <c r="I323" s="2"/>
      <c r="J323" s="2"/>
      <c r="K323" s="2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22"/>
      <c r="B324" s="3"/>
      <c r="C324" s="3"/>
      <c r="D324" s="100"/>
      <c r="E324" s="3"/>
      <c r="F324" s="3"/>
      <c r="G324" s="3"/>
      <c r="H324" s="3"/>
      <c r="I324" s="2"/>
      <c r="J324" s="2"/>
      <c r="K324" s="2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22"/>
      <c r="B325" s="3"/>
      <c r="C325" s="3"/>
      <c r="D325" s="100"/>
      <c r="E325" s="3"/>
      <c r="F325" s="3"/>
      <c r="G325" s="3"/>
      <c r="H325" s="3"/>
      <c r="I325" s="2"/>
      <c r="J325" s="2"/>
      <c r="K325" s="2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22"/>
      <c r="B326" s="3"/>
      <c r="C326" s="3"/>
      <c r="D326" s="100"/>
      <c r="E326" s="3"/>
      <c r="F326" s="3"/>
      <c r="G326" s="3"/>
      <c r="H326" s="3"/>
      <c r="I326" s="2"/>
      <c r="J326" s="2"/>
      <c r="K326" s="2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22"/>
      <c r="B327" s="3"/>
      <c r="C327" s="3"/>
      <c r="D327" s="100"/>
      <c r="E327" s="3"/>
      <c r="F327" s="3"/>
      <c r="G327" s="3"/>
      <c r="H327" s="3"/>
      <c r="I327" s="2"/>
      <c r="J327" s="2"/>
      <c r="K327" s="2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22"/>
      <c r="B328" s="3"/>
      <c r="C328" s="3"/>
      <c r="D328" s="100"/>
      <c r="E328" s="3"/>
      <c r="F328" s="3"/>
      <c r="G328" s="3"/>
      <c r="H328" s="3"/>
      <c r="I328" s="2"/>
      <c r="J328" s="2"/>
      <c r="K328" s="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22"/>
      <c r="B329" s="3"/>
      <c r="C329" s="3"/>
      <c r="D329" s="100"/>
      <c r="E329" s="3"/>
      <c r="F329" s="3"/>
      <c r="G329" s="3"/>
      <c r="H329" s="3"/>
      <c r="I329" s="2"/>
      <c r="J329" s="2"/>
      <c r="K329" s="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22"/>
      <c r="B330" s="3"/>
      <c r="C330" s="3"/>
      <c r="D330" s="100"/>
      <c r="E330" s="3"/>
      <c r="F330" s="3"/>
      <c r="G330" s="3"/>
      <c r="H330" s="3"/>
      <c r="I330" s="2"/>
      <c r="J330" s="2"/>
      <c r="K330" s="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22"/>
      <c r="B331" s="3"/>
      <c r="C331" s="3"/>
      <c r="D331" s="100"/>
      <c r="E331" s="3"/>
      <c r="F331" s="3"/>
      <c r="G331" s="3"/>
      <c r="H331" s="3"/>
      <c r="I331" s="2"/>
      <c r="J331" s="2"/>
      <c r="K331" s="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22"/>
      <c r="B332" s="3"/>
      <c r="C332" s="3"/>
      <c r="D332" s="100"/>
      <c r="E332" s="3"/>
      <c r="F332" s="3"/>
      <c r="G332" s="3"/>
      <c r="H332" s="3"/>
      <c r="I332" s="2"/>
      <c r="J332" s="2"/>
      <c r="K332" s="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22"/>
      <c r="B333" s="3"/>
      <c r="C333" s="3"/>
      <c r="D333" s="100"/>
      <c r="E333" s="3"/>
      <c r="F333" s="3"/>
      <c r="G333" s="3"/>
      <c r="H333" s="3"/>
      <c r="I333" s="2"/>
      <c r="J333" s="2"/>
      <c r="K333" s="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22"/>
      <c r="B334" s="3"/>
      <c r="C334" s="3"/>
      <c r="D334" s="100"/>
      <c r="E334" s="3"/>
      <c r="F334" s="3"/>
      <c r="G334" s="3"/>
      <c r="H334" s="3"/>
      <c r="I334" s="2"/>
      <c r="J334" s="2"/>
      <c r="K334" s="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22"/>
      <c r="B335" s="3"/>
      <c r="C335" s="3"/>
      <c r="D335" s="100"/>
      <c r="E335" s="3"/>
      <c r="F335" s="3"/>
      <c r="G335" s="3"/>
      <c r="H335" s="3"/>
      <c r="I335" s="2"/>
      <c r="J335" s="2"/>
      <c r="K335" s="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22"/>
      <c r="B336" s="3"/>
      <c r="C336" s="3"/>
      <c r="D336" s="100"/>
      <c r="E336" s="3"/>
      <c r="F336" s="3"/>
      <c r="G336" s="3"/>
      <c r="H336" s="3"/>
      <c r="I336" s="2"/>
      <c r="J336" s="2"/>
      <c r="K336" s="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22"/>
      <c r="B337" s="3"/>
      <c r="C337" s="3"/>
      <c r="D337" s="100"/>
      <c r="E337" s="3"/>
      <c r="F337" s="3"/>
      <c r="G337" s="3"/>
      <c r="H337" s="3"/>
      <c r="I337" s="2"/>
      <c r="J337" s="2"/>
      <c r="K337" s="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22"/>
      <c r="B338" s="3"/>
      <c r="C338" s="3"/>
      <c r="D338" s="100"/>
      <c r="E338" s="3"/>
      <c r="F338" s="3"/>
      <c r="G338" s="3"/>
      <c r="H338" s="3"/>
      <c r="I338" s="2"/>
      <c r="J338" s="2"/>
      <c r="K338" s="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22"/>
      <c r="B339" s="3"/>
      <c r="C339" s="3"/>
      <c r="D339" s="100"/>
      <c r="E339" s="3"/>
      <c r="F339" s="3"/>
      <c r="G339" s="3"/>
      <c r="H339" s="3"/>
      <c r="I339" s="2"/>
      <c r="J339" s="2"/>
      <c r="K339" s="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22"/>
      <c r="B340" s="3"/>
      <c r="C340" s="3"/>
      <c r="D340" s="100"/>
      <c r="E340" s="3"/>
      <c r="F340" s="3"/>
      <c r="G340" s="3"/>
      <c r="H340" s="3"/>
      <c r="I340" s="2"/>
      <c r="J340" s="2"/>
      <c r="K340" s="2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22"/>
      <c r="B341" s="3"/>
      <c r="C341" s="3"/>
      <c r="D341" s="100"/>
      <c r="E341" s="3"/>
      <c r="F341" s="3"/>
      <c r="G341" s="3"/>
      <c r="H341" s="3"/>
      <c r="I341" s="2"/>
      <c r="J341" s="2"/>
      <c r="K341" s="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22"/>
      <c r="B342" s="3"/>
      <c r="C342" s="3"/>
      <c r="D342" s="100"/>
      <c r="E342" s="3"/>
      <c r="F342" s="3"/>
      <c r="G342" s="3"/>
      <c r="H342" s="3"/>
      <c r="I342" s="2"/>
      <c r="J342" s="2"/>
      <c r="K342" s="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22"/>
      <c r="B343" s="3"/>
      <c r="C343" s="3"/>
      <c r="D343" s="100"/>
      <c r="E343" s="3"/>
      <c r="F343" s="3"/>
      <c r="G343" s="3"/>
      <c r="H343" s="3"/>
      <c r="I343" s="2"/>
      <c r="J343" s="2"/>
      <c r="K343" s="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22"/>
      <c r="B344" s="3"/>
      <c r="C344" s="3"/>
      <c r="D344" s="100"/>
      <c r="E344" s="3"/>
      <c r="F344" s="3"/>
      <c r="G344" s="3"/>
      <c r="H344" s="3"/>
      <c r="I344" s="2"/>
      <c r="J344" s="2"/>
      <c r="K344" s="2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22"/>
      <c r="B345" s="3"/>
      <c r="C345" s="3"/>
      <c r="D345" s="100"/>
      <c r="E345" s="3"/>
      <c r="F345" s="3"/>
      <c r="G345" s="3"/>
      <c r="H345" s="3"/>
      <c r="I345" s="2"/>
      <c r="J345" s="2"/>
      <c r="K345" s="2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22"/>
      <c r="B346" s="3"/>
      <c r="C346" s="3"/>
      <c r="D346" s="100"/>
      <c r="E346" s="3"/>
      <c r="F346" s="3"/>
      <c r="G346" s="3"/>
      <c r="H346" s="3"/>
      <c r="I346" s="2"/>
      <c r="J346" s="2"/>
      <c r="K346" s="2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22"/>
      <c r="B347" s="3"/>
      <c r="C347" s="3"/>
      <c r="D347" s="100"/>
      <c r="E347" s="3"/>
      <c r="F347" s="3"/>
      <c r="G347" s="3"/>
      <c r="H347" s="3"/>
      <c r="I347" s="2"/>
      <c r="J347" s="2"/>
      <c r="K347" s="2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22"/>
      <c r="B348" s="3"/>
      <c r="C348" s="3"/>
      <c r="D348" s="100"/>
      <c r="E348" s="3"/>
      <c r="F348" s="3"/>
      <c r="G348" s="3"/>
      <c r="H348" s="3"/>
      <c r="I348" s="2"/>
      <c r="J348" s="2"/>
      <c r="K348" s="2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22"/>
      <c r="B349" s="3"/>
      <c r="C349" s="3"/>
      <c r="D349" s="100"/>
      <c r="E349" s="3"/>
      <c r="F349" s="3"/>
      <c r="G349" s="3"/>
      <c r="H349" s="3"/>
      <c r="I349" s="2"/>
      <c r="J349" s="2"/>
      <c r="K349" s="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22"/>
      <c r="B350" s="3"/>
      <c r="C350" s="3"/>
      <c r="D350" s="100"/>
      <c r="E350" s="3"/>
      <c r="F350" s="3"/>
      <c r="G350" s="3"/>
      <c r="H350" s="3"/>
      <c r="I350" s="2"/>
      <c r="J350" s="2"/>
      <c r="K350" s="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22"/>
      <c r="B351" s="3"/>
      <c r="C351" s="3"/>
      <c r="D351" s="100"/>
      <c r="E351" s="3"/>
      <c r="F351" s="3"/>
      <c r="G351" s="3"/>
      <c r="H351" s="3"/>
      <c r="I351" s="2"/>
      <c r="J351" s="2"/>
      <c r="K351" s="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22"/>
      <c r="B352" s="3"/>
      <c r="C352" s="3"/>
      <c r="D352" s="100"/>
      <c r="E352" s="3"/>
      <c r="F352" s="3"/>
      <c r="G352" s="3"/>
      <c r="H352" s="3"/>
      <c r="I352" s="2"/>
      <c r="J352" s="2"/>
      <c r="K352" s="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22"/>
      <c r="B353" s="3"/>
      <c r="C353" s="3"/>
      <c r="D353" s="100"/>
      <c r="E353" s="3"/>
      <c r="F353" s="3"/>
      <c r="G353" s="3"/>
      <c r="H353" s="3"/>
      <c r="I353" s="2"/>
      <c r="J353" s="2"/>
      <c r="K353" s="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22"/>
      <c r="B354" s="3"/>
      <c r="C354" s="3"/>
      <c r="D354" s="100"/>
      <c r="E354" s="3"/>
      <c r="F354" s="3"/>
      <c r="G354" s="3"/>
      <c r="H354" s="3"/>
      <c r="I354" s="2"/>
      <c r="J354" s="2"/>
      <c r="K354" s="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22"/>
      <c r="B355" s="3"/>
      <c r="C355" s="3"/>
      <c r="D355" s="100"/>
      <c r="E355" s="3"/>
      <c r="F355" s="3"/>
      <c r="G355" s="3"/>
      <c r="H355" s="3"/>
      <c r="I355" s="2"/>
      <c r="J355" s="2"/>
      <c r="K355" s="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22"/>
      <c r="B356" s="3"/>
      <c r="C356" s="3"/>
      <c r="D356" s="100"/>
      <c r="E356" s="3"/>
      <c r="F356" s="3"/>
      <c r="G356" s="3"/>
      <c r="H356" s="3"/>
      <c r="I356" s="2"/>
      <c r="J356" s="2"/>
      <c r="K356" s="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22"/>
      <c r="B357" s="3"/>
      <c r="C357" s="3"/>
      <c r="D357" s="100"/>
      <c r="E357" s="3"/>
      <c r="F357" s="3"/>
      <c r="G357" s="3"/>
      <c r="H357" s="3"/>
      <c r="I357" s="2"/>
      <c r="J357" s="2"/>
      <c r="K357" s="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22"/>
      <c r="B358" s="3"/>
      <c r="C358" s="3"/>
      <c r="D358" s="100"/>
      <c r="E358" s="3"/>
      <c r="F358" s="3"/>
      <c r="G358" s="3"/>
      <c r="H358" s="3"/>
      <c r="I358" s="2"/>
      <c r="J358" s="2"/>
      <c r="K358" s="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22"/>
      <c r="B359" s="3"/>
      <c r="C359" s="3"/>
      <c r="D359" s="100"/>
      <c r="E359" s="3"/>
      <c r="F359" s="3"/>
      <c r="G359" s="3"/>
      <c r="H359" s="3"/>
      <c r="I359" s="2"/>
      <c r="J359" s="2"/>
      <c r="K359" s="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22"/>
      <c r="B360" s="3"/>
      <c r="C360" s="3"/>
      <c r="D360" s="100"/>
      <c r="E360" s="3"/>
      <c r="F360" s="3"/>
      <c r="G360" s="3"/>
      <c r="H360" s="3"/>
      <c r="I360" s="2"/>
      <c r="J360" s="2"/>
      <c r="K360" s="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22"/>
      <c r="B361" s="3"/>
      <c r="C361" s="3"/>
      <c r="D361" s="100"/>
      <c r="E361" s="3"/>
      <c r="F361" s="3"/>
      <c r="G361" s="3"/>
      <c r="H361" s="3"/>
      <c r="I361" s="2"/>
      <c r="J361" s="2"/>
      <c r="K361" s="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22"/>
      <c r="B362" s="3"/>
      <c r="C362" s="3"/>
      <c r="D362" s="100"/>
      <c r="E362" s="3"/>
      <c r="F362" s="3"/>
      <c r="G362" s="3"/>
      <c r="H362" s="3"/>
      <c r="I362" s="2"/>
      <c r="J362" s="2"/>
      <c r="K362" s="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22"/>
      <c r="B363" s="3"/>
      <c r="C363" s="3"/>
      <c r="D363" s="100"/>
      <c r="E363" s="3"/>
      <c r="F363" s="3"/>
      <c r="G363" s="3"/>
      <c r="H363" s="3"/>
      <c r="I363" s="2"/>
      <c r="J363" s="2"/>
      <c r="K363" s="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22"/>
      <c r="B364" s="3"/>
      <c r="C364" s="3"/>
      <c r="D364" s="100"/>
      <c r="E364" s="3"/>
      <c r="F364" s="3"/>
      <c r="G364" s="3"/>
      <c r="H364" s="3"/>
      <c r="I364" s="2"/>
      <c r="J364" s="2"/>
      <c r="K364" s="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22"/>
      <c r="B365" s="3"/>
      <c r="C365" s="3"/>
      <c r="D365" s="100"/>
      <c r="E365" s="3"/>
      <c r="F365" s="3"/>
      <c r="G365" s="3"/>
      <c r="H365" s="3"/>
      <c r="I365" s="2"/>
      <c r="J365" s="2"/>
      <c r="K365" s="2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22"/>
      <c r="B366" s="3"/>
      <c r="C366" s="3"/>
      <c r="D366" s="100"/>
      <c r="E366" s="3"/>
      <c r="F366" s="3"/>
      <c r="G366" s="3"/>
      <c r="H366" s="3"/>
      <c r="I366" s="2"/>
      <c r="J366" s="2"/>
      <c r="K366" s="2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22"/>
      <c r="B367" s="3"/>
      <c r="C367" s="3"/>
      <c r="D367" s="100"/>
      <c r="E367" s="3"/>
      <c r="F367" s="3"/>
      <c r="G367" s="3"/>
      <c r="H367" s="3"/>
      <c r="I367" s="2"/>
      <c r="J367" s="2"/>
      <c r="K367" s="2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22"/>
      <c r="B368" s="3"/>
      <c r="C368" s="3"/>
      <c r="D368" s="100"/>
      <c r="E368" s="3"/>
      <c r="F368" s="3"/>
      <c r="G368" s="3"/>
      <c r="H368" s="3"/>
      <c r="I368" s="2"/>
      <c r="J368" s="2"/>
      <c r="K368" s="2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22"/>
      <c r="B369" s="3"/>
      <c r="C369" s="3"/>
      <c r="D369" s="100"/>
      <c r="E369" s="3"/>
      <c r="F369" s="3"/>
      <c r="G369" s="3"/>
      <c r="H369" s="3"/>
      <c r="I369" s="2"/>
      <c r="J369" s="2"/>
      <c r="K369" s="2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22"/>
      <c r="B370" s="3"/>
      <c r="C370" s="3"/>
      <c r="D370" s="100"/>
      <c r="E370" s="3"/>
      <c r="F370" s="3"/>
      <c r="G370" s="3"/>
      <c r="H370" s="3"/>
      <c r="I370" s="2"/>
      <c r="J370" s="2"/>
      <c r="K370" s="2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22"/>
      <c r="B371" s="3"/>
      <c r="C371" s="3"/>
      <c r="D371" s="100"/>
      <c r="E371" s="3"/>
      <c r="F371" s="3"/>
      <c r="G371" s="3"/>
      <c r="H371" s="3"/>
      <c r="I371" s="2"/>
      <c r="J371" s="2"/>
      <c r="K371" s="2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22"/>
      <c r="B372" s="3"/>
      <c r="C372" s="3"/>
      <c r="D372" s="100"/>
      <c r="E372" s="3"/>
      <c r="F372" s="3"/>
      <c r="G372" s="3"/>
      <c r="H372" s="3"/>
      <c r="I372" s="2"/>
      <c r="J372" s="2"/>
      <c r="K372" s="2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22"/>
      <c r="B373" s="3"/>
      <c r="C373" s="3"/>
      <c r="D373" s="100"/>
      <c r="E373" s="3"/>
      <c r="F373" s="3"/>
      <c r="G373" s="3"/>
      <c r="H373" s="3"/>
      <c r="I373" s="2"/>
      <c r="J373" s="2"/>
      <c r="K373" s="2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22"/>
      <c r="B374" s="3"/>
      <c r="C374" s="3"/>
      <c r="D374" s="100"/>
      <c r="E374" s="3"/>
      <c r="F374" s="3"/>
      <c r="G374" s="3"/>
      <c r="H374" s="3"/>
      <c r="I374" s="2"/>
      <c r="J374" s="2"/>
      <c r="K374" s="2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22"/>
      <c r="B375" s="3"/>
      <c r="C375" s="3"/>
      <c r="D375" s="100"/>
      <c r="E375" s="3"/>
      <c r="F375" s="3"/>
      <c r="G375" s="3"/>
      <c r="H375" s="3"/>
      <c r="I375" s="2"/>
      <c r="J375" s="2"/>
      <c r="K375" s="2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22"/>
      <c r="B376" s="3"/>
      <c r="C376" s="3"/>
      <c r="D376" s="100"/>
      <c r="E376" s="3"/>
      <c r="F376" s="3"/>
      <c r="G376" s="3"/>
      <c r="H376" s="3"/>
      <c r="I376" s="2"/>
      <c r="J376" s="2"/>
      <c r="K376" s="2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22"/>
      <c r="B377" s="3"/>
      <c r="C377" s="3"/>
      <c r="D377" s="100"/>
      <c r="E377" s="3"/>
      <c r="F377" s="3"/>
      <c r="G377" s="3"/>
      <c r="H377" s="3"/>
      <c r="I377" s="2"/>
      <c r="J377" s="2"/>
      <c r="K377" s="2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22"/>
      <c r="B378" s="3"/>
      <c r="C378" s="3"/>
      <c r="D378" s="100"/>
      <c r="E378" s="3"/>
      <c r="F378" s="3"/>
      <c r="G378" s="3"/>
      <c r="H378" s="3"/>
      <c r="I378" s="2"/>
      <c r="J378" s="2"/>
      <c r="K378" s="2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22"/>
      <c r="B379" s="3"/>
      <c r="C379" s="3"/>
      <c r="D379" s="100"/>
      <c r="E379" s="3"/>
      <c r="F379" s="3"/>
      <c r="G379" s="3"/>
      <c r="H379" s="3"/>
      <c r="I379" s="2"/>
      <c r="J379" s="2"/>
      <c r="K379" s="2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22"/>
      <c r="B380" s="3"/>
      <c r="C380" s="3"/>
      <c r="D380" s="100"/>
      <c r="E380" s="3"/>
      <c r="F380" s="3"/>
      <c r="G380" s="3"/>
      <c r="H380" s="3"/>
      <c r="I380" s="2"/>
      <c r="J380" s="2"/>
      <c r="K380" s="2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22"/>
      <c r="B381" s="3"/>
      <c r="C381" s="3"/>
      <c r="D381" s="100"/>
      <c r="E381" s="3"/>
      <c r="F381" s="3"/>
      <c r="G381" s="3"/>
      <c r="H381" s="3"/>
      <c r="I381" s="2"/>
      <c r="J381" s="2"/>
      <c r="K381" s="2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22"/>
      <c r="B382" s="3"/>
      <c r="C382" s="3"/>
      <c r="D382" s="100"/>
      <c r="E382" s="3"/>
      <c r="F382" s="3"/>
      <c r="G382" s="3"/>
      <c r="H382" s="3"/>
      <c r="I382" s="2"/>
      <c r="J382" s="2"/>
      <c r="K382" s="2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22"/>
      <c r="B383" s="3"/>
      <c r="C383" s="3"/>
      <c r="D383" s="100"/>
      <c r="E383" s="3"/>
      <c r="F383" s="3"/>
      <c r="G383" s="3"/>
      <c r="H383" s="3"/>
      <c r="I383" s="2"/>
      <c r="J383" s="2"/>
      <c r="K383" s="2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22"/>
      <c r="B384" s="3"/>
      <c r="C384" s="3"/>
      <c r="D384" s="100"/>
      <c r="E384" s="3"/>
      <c r="F384" s="3"/>
      <c r="G384" s="3"/>
      <c r="H384" s="3"/>
      <c r="I384" s="2"/>
      <c r="J384" s="2"/>
      <c r="K384" s="2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22"/>
      <c r="B385" s="3"/>
      <c r="C385" s="3"/>
      <c r="D385" s="100"/>
      <c r="E385" s="3"/>
      <c r="F385" s="3"/>
      <c r="G385" s="3"/>
      <c r="H385" s="3"/>
      <c r="I385" s="2"/>
      <c r="J385" s="2"/>
      <c r="K385" s="2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22"/>
      <c r="B386" s="3"/>
      <c r="C386" s="3"/>
      <c r="D386" s="100"/>
      <c r="E386" s="3"/>
      <c r="F386" s="3"/>
      <c r="G386" s="3"/>
      <c r="H386" s="3"/>
      <c r="I386" s="2"/>
      <c r="J386" s="2"/>
      <c r="K386" s="2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22"/>
      <c r="B387" s="3"/>
      <c r="C387" s="3"/>
      <c r="D387" s="100"/>
      <c r="E387" s="3"/>
      <c r="F387" s="3"/>
      <c r="G387" s="3"/>
      <c r="H387" s="3"/>
      <c r="I387" s="2"/>
      <c r="J387" s="2"/>
      <c r="K387" s="2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22"/>
      <c r="B388" s="3"/>
      <c r="C388" s="3"/>
      <c r="D388" s="100"/>
      <c r="E388" s="3"/>
      <c r="F388" s="3"/>
      <c r="G388" s="3"/>
      <c r="H388" s="3"/>
      <c r="I388" s="2"/>
      <c r="J388" s="2"/>
      <c r="K388" s="2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22"/>
      <c r="B389" s="3"/>
      <c r="C389" s="3"/>
      <c r="D389" s="100"/>
      <c r="E389" s="3"/>
      <c r="F389" s="3"/>
      <c r="G389" s="3"/>
      <c r="H389" s="3"/>
      <c r="I389" s="2"/>
      <c r="J389" s="2"/>
      <c r="K389" s="2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22"/>
      <c r="B390" s="3"/>
      <c r="C390" s="3"/>
      <c r="D390" s="100"/>
      <c r="E390" s="3"/>
      <c r="F390" s="3"/>
      <c r="G390" s="3"/>
      <c r="H390" s="3"/>
      <c r="I390" s="2"/>
      <c r="J390" s="2"/>
      <c r="K390" s="2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22"/>
      <c r="B391" s="3"/>
      <c r="C391" s="3"/>
      <c r="D391" s="100"/>
      <c r="E391" s="3"/>
      <c r="F391" s="3"/>
      <c r="G391" s="3"/>
      <c r="H391" s="3"/>
      <c r="I391" s="2"/>
      <c r="J391" s="2"/>
      <c r="K391" s="2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22"/>
      <c r="B392" s="3"/>
      <c r="C392" s="3"/>
      <c r="D392" s="100"/>
      <c r="E392" s="3"/>
      <c r="F392" s="3"/>
      <c r="G392" s="3"/>
      <c r="H392" s="3"/>
      <c r="I392" s="2"/>
      <c r="J392" s="2"/>
      <c r="K392" s="2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22"/>
      <c r="B393" s="3"/>
      <c r="C393" s="3"/>
      <c r="D393" s="100"/>
      <c r="E393" s="3"/>
      <c r="F393" s="3"/>
      <c r="G393" s="3"/>
      <c r="H393" s="3"/>
      <c r="I393" s="2"/>
      <c r="J393" s="2"/>
      <c r="K393" s="2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22"/>
      <c r="B394" s="3"/>
      <c r="C394" s="3"/>
      <c r="D394" s="100"/>
      <c r="E394" s="3"/>
      <c r="F394" s="3"/>
      <c r="G394" s="3"/>
      <c r="H394" s="3"/>
      <c r="I394" s="2"/>
      <c r="J394" s="2"/>
      <c r="K394" s="2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22"/>
      <c r="B395" s="3"/>
      <c r="C395" s="3"/>
      <c r="D395" s="100"/>
      <c r="E395" s="3"/>
      <c r="F395" s="3"/>
      <c r="G395" s="3"/>
      <c r="H395" s="3"/>
      <c r="I395" s="2"/>
      <c r="J395" s="2"/>
      <c r="K395" s="2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22"/>
      <c r="B396" s="3"/>
      <c r="C396" s="3"/>
      <c r="D396" s="100"/>
      <c r="E396" s="3"/>
      <c r="F396" s="3"/>
      <c r="G396" s="3"/>
      <c r="H396" s="3"/>
      <c r="I396" s="2"/>
      <c r="J396" s="2"/>
      <c r="K396" s="2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22"/>
      <c r="B397" s="3"/>
      <c r="C397" s="3"/>
      <c r="D397" s="100"/>
      <c r="E397" s="3"/>
      <c r="F397" s="3"/>
      <c r="G397" s="3"/>
      <c r="H397" s="3"/>
      <c r="I397" s="2"/>
      <c r="J397" s="2"/>
      <c r="K397" s="2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22"/>
      <c r="B398" s="3"/>
      <c r="C398" s="3"/>
      <c r="D398" s="100"/>
      <c r="E398" s="3"/>
      <c r="F398" s="3"/>
      <c r="G398" s="3"/>
      <c r="H398" s="3"/>
      <c r="I398" s="2"/>
      <c r="J398" s="2"/>
      <c r="K398" s="2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22"/>
      <c r="B399" s="3"/>
      <c r="C399" s="3"/>
      <c r="D399" s="100"/>
      <c r="E399" s="3"/>
      <c r="F399" s="3"/>
      <c r="G399" s="3"/>
      <c r="H399" s="3"/>
      <c r="I399" s="2"/>
      <c r="J399" s="2"/>
      <c r="K399" s="2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22"/>
      <c r="B400" s="3"/>
      <c r="C400" s="3"/>
      <c r="D400" s="100"/>
      <c r="E400" s="3"/>
      <c r="F400" s="3"/>
      <c r="G400" s="3"/>
      <c r="H400" s="3"/>
      <c r="I400" s="2"/>
      <c r="J400" s="2"/>
      <c r="K400" s="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22"/>
      <c r="B401" s="3"/>
      <c r="C401" s="3"/>
      <c r="D401" s="100"/>
      <c r="E401" s="3"/>
      <c r="F401" s="3"/>
      <c r="G401" s="3"/>
      <c r="H401" s="3"/>
      <c r="I401" s="2"/>
      <c r="J401" s="2"/>
      <c r="K401" s="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22"/>
      <c r="B402" s="3"/>
      <c r="C402" s="3"/>
      <c r="D402" s="100"/>
      <c r="E402" s="3"/>
      <c r="F402" s="3"/>
      <c r="G402" s="3"/>
      <c r="H402" s="3"/>
      <c r="I402" s="2"/>
      <c r="J402" s="2"/>
      <c r="K402" s="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22"/>
      <c r="B403" s="3"/>
      <c r="C403" s="3"/>
      <c r="D403" s="100"/>
      <c r="E403" s="3"/>
      <c r="F403" s="3"/>
      <c r="G403" s="3"/>
      <c r="H403" s="3"/>
      <c r="I403" s="2"/>
      <c r="J403" s="2"/>
      <c r="K403" s="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22"/>
      <c r="B404" s="3"/>
      <c r="C404" s="3"/>
      <c r="D404" s="100"/>
      <c r="E404" s="3"/>
      <c r="F404" s="3"/>
      <c r="G404" s="3"/>
      <c r="H404" s="3"/>
      <c r="I404" s="2"/>
      <c r="J404" s="2"/>
      <c r="K404" s="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22"/>
      <c r="B405" s="3"/>
      <c r="C405" s="3"/>
      <c r="D405" s="100"/>
      <c r="E405" s="3"/>
      <c r="F405" s="3"/>
      <c r="G405" s="3"/>
      <c r="H405" s="3"/>
      <c r="I405" s="2"/>
      <c r="J405" s="2"/>
      <c r="K405" s="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22"/>
      <c r="B406" s="3"/>
      <c r="C406" s="3"/>
      <c r="D406" s="100"/>
      <c r="E406" s="3"/>
      <c r="F406" s="3"/>
      <c r="G406" s="3"/>
      <c r="H406" s="3"/>
      <c r="I406" s="2"/>
      <c r="J406" s="2"/>
      <c r="K406" s="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22"/>
      <c r="B407" s="3"/>
      <c r="C407" s="3"/>
      <c r="D407" s="100"/>
      <c r="E407" s="3"/>
      <c r="F407" s="3"/>
      <c r="G407" s="3"/>
      <c r="H407" s="3"/>
      <c r="I407" s="2"/>
      <c r="J407" s="2"/>
      <c r="K407" s="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22"/>
      <c r="B408" s="3"/>
      <c r="C408" s="3"/>
      <c r="D408" s="100"/>
      <c r="E408" s="3"/>
      <c r="F408" s="3"/>
      <c r="G408" s="3"/>
      <c r="H408" s="3"/>
      <c r="I408" s="2"/>
      <c r="J408" s="2"/>
      <c r="K408" s="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22"/>
      <c r="B409" s="3"/>
      <c r="C409" s="3"/>
      <c r="D409" s="100"/>
      <c r="E409" s="3"/>
      <c r="F409" s="3"/>
      <c r="G409" s="3"/>
      <c r="H409" s="3"/>
      <c r="I409" s="2"/>
      <c r="J409" s="2"/>
      <c r="K409" s="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22"/>
      <c r="B410" s="3"/>
      <c r="C410" s="3"/>
      <c r="D410" s="100"/>
      <c r="E410" s="3"/>
      <c r="F410" s="3"/>
      <c r="G410" s="3"/>
      <c r="H410" s="3"/>
      <c r="I410" s="2"/>
      <c r="J410" s="2"/>
      <c r="K410" s="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22"/>
      <c r="B411" s="3"/>
      <c r="C411" s="3"/>
      <c r="D411" s="100"/>
      <c r="E411" s="3"/>
      <c r="F411" s="3"/>
      <c r="G411" s="3"/>
      <c r="H411" s="3"/>
      <c r="I411" s="2"/>
      <c r="J411" s="2"/>
      <c r="K411" s="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22"/>
      <c r="B412" s="3"/>
      <c r="C412" s="3"/>
      <c r="D412" s="100"/>
      <c r="E412" s="3"/>
      <c r="F412" s="3"/>
      <c r="G412" s="3"/>
      <c r="H412" s="3"/>
      <c r="I412" s="2"/>
      <c r="J412" s="2"/>
      <c r="K412" s="2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22"/>
      <c r="B413" s="3"/>
      <c r="C413" s="3"/>
      <c r="D413" s="100"/>
      <c r="E413" s="3"/>
      <c r="F413" s="3"/>
      <c r="G413" s="3"/>
      <c r="H413" s="3"/>
      <c r="I413" s="2"/>
      <c r="J413" s="2"/>
      <c r="K413" s="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22"/>
      <c r="B414" s="3"/>
      <c r="C414" s="3"/>
      <c r="D414" s="100"/>
      <c r="E414" s="3"/>
      <c r="F414" s="3"/>
      <c r="G414" s="3"/>
      <c r="H414" s="3"/>
      <c r="I414" s="2"/>
      <c r="J414" s="2"/>
      <c r="K414" s="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22"/>
      <c r="B415" s="3"/>
      <c r="C415" s="3"/>
      <c r="D415" s="100"/>
      <c r="E415" s="3"/>
      <c r="F415" s="3"/>
      <c r="G415" s="3"/>
      <c r="H415" s="3"/>
      <c r="I415" s="2"/>
      <c r="J415" s="2"/>
      <c r="K415" s="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22"/>
      <c r="B416" s="3"/>
      <c r="C416" s="3"/>
      <c r="D416" s="100"/>
      <c r="E416" s="3"/>
      <c r="F416" s="3"/>
      <c r="G416" s="3"/>
      <c r="H416" s="3"/>
      <c r="I416" s="2"/>
      <c r="J416" s="2"/>
      <c r="K416" s="2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22"/>
      <c r="B417" s="3"/>
      <c r="C417" s="3"/>
      <c r="D417" s="100"/>
      <c r="E417" s="3"/>
      <c r="F417" s="3"/>
      <c r="G417" s="3"/>
      <c r="H417" s="3"/>
      <c r="I417" s="2"/>
      <c r="J417" s="2"/>
      <c r="K417" s="2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22"/>
      <c r="B418" s="3"/>
      <c r="C418" s="3"/>
      <c r="D418" s="100"/>
      <c r="E418" s="3"/>
      <c r="F418" s="3"/>
      <c r="G418" s="3"/>
      <c r="H418" s="3"/>
      <c r="I418" s="2"/>
      <c r="J418" s="2"/>
      <c r="K418" s="2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22"/>
      <c r="B419" s="3"/>
      <c r="C419" s="3"/>
      <c r="D419" s="100"/>
      <c r="E419" s="3"/>
      <c r="F419" s="3"/>
      <c r="G419" s="3"/>
      <c r="H419" s="3"/>
      <c r="I419" s="2"/>
      <c r="J419" s="2"/>
      <c r="K419" s="2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22"/>
      <c r="B420" s="3"/>
      <c r="C420" s="3"/>
      <c r="D420" s="100"/>
      <c r="E420" s="3"/>
      <c r="F420" s="3"/>
      <c r="G420" s="3"/>
      <c r="H420" s="3"/>
      <c r="I420" s="2"/>
      <c r="J420" s="2"/>
      <c r="K420" s="2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22"/>
      <c r="B421" s="3"/>
      <c r="C421" s="3"/>
      <c r="D421" s="100"/>
      <c r="E421" s="3"/>
      <c r="F421" s="3"/>
      <c r="G421" s="3"/>
      <c r="H421" s="3"/>
      <c r="I421" s="2"/>
      <c r="J421" s="2"/>
      <c r="K421" s="2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22"/>
      <c r="B422" s="3"/>
      <c r="C422" s="3"/>
      <c r="D422" s="100"/>
      <c r="E422" s="3"/>
      <c r="F422" s="3"/>
      <c r="G422" s="3"/>
      <c r="H422" s="3"/>
      <c r="I422" s="2"/>
      <c r="J422" s="2"/>
      <c r="K422" s="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22"/>
      <c r="B423" s="3"/>
      <c r="C423" s="3"/>
      <c r="D423" s="100"/>
      <c r="E423" s="3"/>
      <c r="F423" s="3"/>
      <c r="G423" s="3"/>
      <c r="H423" s="3"/>
      <c r="I423" s="2"/>
      <c r="J423" s="2"/>
      <c r="K423" s="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22"/>
      <c r="B424" s="3"/>
      <c r="C424" s="3"/>
      <c r="D424" s="100"/>
      <c r="E424" s="3"/>
      <c r="F424" s="3"/>
      <c r="G424" s="3"/>
      <c r="H424" s="3"/>
      <c r="I424" s="2"/>
      <c r="J424" s="2"/>
      <c r="K424" s="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22"/>
      <c r="B425" s="3"/>
      <c r="C425" s="3"/>
      <c r="D425" s="100"/>
      <c r="E425" s="3"/>
      <c r="F425" s="3"/>
      <c r="G425" s="3"/>
      <c r="H425" s="3"/>
      <c r="I425" s="2"/>
      <c r="J425" s="2"/>
      <c r="K425" s="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22"/>
      <c r="B426" s="3"/>
      <c r="C426" s="3"/>
      <c r="D426" s="100"/>
      <c r="E426" s="3"/>
      <c r="F426" s="3"/>
      <c r="G426" s="3"/>
      <c r="H426" s="3"/>
      <c r="I426" s="2"/>
      <c r="J426" s="2"/>
      <c r="K426" s="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22"/>
      <c r="B427" s="3"/>
      <c r="C427" s="3"/>
      <c r="D427" s="100"/>
      <c r="E427" s="3"/>
      <c r="F427" s="3"/>
      <c r="G427" s="3"/>
      <c r="H427" s="3"/>
      <c r="I427" s="2"/>
      <c r="J427" s="2"/>
      <c r="K427" s="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22"/>
      <c r="B428" s="3"/>
      <c r="C428" s="3"/>
      <c r="D428" s="100"/>
      <c r="E428" s="3"/>
      <c r="F428" s="3"/>
      <c r="G428" s="3"/>
      <c r="H428" s="3"/>
      <c r="I428" s="2"/>
      <c r="J428" s="2"/>
      <c r="K428" s="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22"/>
      <c r="B429" s="3"/>
      <c r="C429" s="3"/>
      <c r="D429" s="100"/>
      <c r="E429" s="3"/>
      <c r="F429" s="3"/>
      <c r="G429" s="3"/>
      <c r="H429" s="3"/>
      <c r="I429" s="2"/>
      <c r="J429" s="2"/>
      <c r="K429" s="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22"/>
      <c r="B430" s="3"/>
      <c r="C430" s="3"/>
      <c r="D430" s="100"/>
      <c r="E430" s="3"/>
      <c r="F430" s="3"/>
      <c r="G430" s="3"/>
      <c r="H430" s="3"/>
      <c r="I430" s="2"/>
      <c r="J430" s="2"/>
      <c r="K430" s="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22"/>
      <c r="B431" s="3"/>
      <c r="C431" s="3"/>
      <c r="D431" s="100"/>
      <c r="E431" s="3"/>
      <c r="F431" s="3"/>
      <c r="G431" s="3"/>
      <c r="H431" s="3"/>
      <c r="I431" s="2"/>
      <c r="J431" s="2"/>
      <c r="K431" s="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22"/>
      <c r="B432" s="3"/>
      <c r="C432" s="3"/>
      <c r="D432" s="100"/>
      <c r="E432" s="3"/>
      <c r="F432" s="3"/>
      <c r="G432" s="3"/>
      <c r="H432" s="3"/>
      <c r="I432" s="2"/>
      <c r="J432" s="2"/>
      <c r="K432" s="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22"/>
      <c r="B433" s="3"/>
      <c r="C433" s="3"/>
      <c r="D433" s="100"/>
      <c r="E433" s="3"/>
      <c r="F433" s="3"/>
      <c r="G433" s="3"/>
      <c r="H433" s="3"/>
      <c r="I433" s="2"/>
      <c r="J433" s="2"/>
      <c r="K433" s="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22"/>
      <c r="B434" s="3"/>
      <c r="C434" s="3"/>
      <c r="D434" s="100"/>
      <c r="E434" s="3"/>
      <c r="F434" s="3"/>
      <c r="G434" s="3"/>
      <c r="H434" s="3"/>
      <c r="I434" s="2"/>
      <c r="J434" s="2"/>
      <c r="K434" s="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22"/>
      <c r="B435" s="3"/>
      <c r="C435" s="3"/>
      <c r="D435" s="100"/>
      <c r="E435" s="3"/>
      <c r="F435" s="3"/>
      <c r="G435" s="3"/>
      <c r="H435" s="3"/>
      <c r="I435" s="2"/>
      <c r="J435" s="2"/>
      <c r="K435" s="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22"/>
      <c r="B436" s="3"/>
      <c r="C436" s="3"/>
      <c r="D436" s="100"/>
      <c r="E436" s="3"/>
      <c r="F436" s="3"/>
      <c r="G436" s="3"/>
      <c r="H436" s="3"/>
      <c r="I436" s="2"/>
      <c r="J436" s="2"/>
      <c r="K436" s="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22"/>
      <c r="B437" s="3"/>
      <c r="C437" s="3"/>
      <c r="D437" s="100"/>
      <c r="E437" s="3"/>
      <c r="F437" s="3"/>
      <c r="G437" s="3"/>
      <c r="H437" s="3"/>
      <c r="I437" s="2"/>
      <c r="J437" s="2"/>
      <c r="K437" s="2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22"/>
      <c r="B438" s="3"/>
      <c r="C438" s="3"/>
      <c r="D438" s="100"/>
      <c r="E438" s="3"/>
      <c r="F438" s="3"/>
      <c r="G438" s="3"/>
      <c r="H438" s="3"/>
      <c r="I438" s="2"/>
      <c r="J438" s="2"/>
      <c r="K438" s="2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22"/>
      <c r="B439" s="3"/>
      <c r="C439" s="3"/>
      <c r="D439" s="100"/>
      <c r="E439" s="3"/>
      <c r="F439" s="3"/>
      <c r="G439" s="3"/>
      <c r="H439" s="3"/>
      <c r="I439" s="2"/>
      <c r="J439" s="2"/>
      <c r="K439" s="2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22"/>
      <c r="B440" s="3"/>
      <c r="C440" s="3"/>
      <c r="D440" s="100"/>
      <c r="E440" s="3"/>
      <c r="F440" s="3"/>
      <c r="G440" s="3"/>
      <c r="H440" s="3"/>
      <c r="I440" s="2"/>
      <c r="J440" s="2"/>
      <c r="K440" s="2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22"/>
      <c r="B441" s="3"/>
      <c r="C441" s="3"/>
      <c r="D441" s="100"/>
      <c r="E441" s="3"/>
      <c r="F441" s="3"/>
      <c r="G441" s="3"/>
      <c r="H441" s="3"/>
      <c r="I441" s="2"/>
      <c r="J441" s="2"/>
      <c r="K441" s="2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22"/>
      <c r="B442" s="3"/>
      <c r="C442" s="3"/>
      <c r="D442" s="100"/>
      <c r="E442" s="3"/>
      <c r="F442" s="3"/>
      <c r="G442" s="3"/>
      <c r="H442" s="3"/>
      <c r="I442" s="2"/>
      <c r="J442" s="2"/>
      <c r="K442" s="2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22"/>
      <c r="B443" s="3"/>
      <c r="C443" s="3"/>
      <c r="D443" s="100"/>
      <c r="E443" s="3"/>
      <c r="F443" s="3"/>
      <c r="G443" s="3"/>
      <c r="H443" s="3"/>
      <c r="I443" s="2"/>
      <c r="J443" s="2"/>
      <c r="K443" s="2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22"/>
      <c r="B444" s="3"/>
      <c r="C444" s="3"/>
      <c r="D444" s="100"/>
      <c r="E444" s="3"/>
      <c r="F444" s="3"/>
      <c r="G444" s="3"/>
      <c r="H444" s="3"/>
      <c r="I444" s="2"/>
      <c r="J444" s="2"/>
      <c r="K444" s="2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22"/>
      <c r="B445" s="3"/>
      <c r="C445" s="3"/>
      <c r="D445" s="100"/>
      <c r="E445" s="3"/>
      <c r="F445" s="3"/>
      <c r="G445" s="3"/>
      <c r="H445" s="3"/>
      <c r="I445" s="2"/>
      <c r="J445" s="2"/>
      <c r="K445" s="2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22"/>
      <c r="B446" s="3"/>
      <c r="C446" s="3"/>
      <c r="D446" s="100"/>
      <c r="E446" s="3"/>
      <c r="F446" s="3"/>
      <c r="G446" s="3"/>
      <c r="H446" s="3"/>
      <c r="I446" s="2"/>
      <c r="J446" s="2"/>
      <c r="K446" s="2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22"/>
      <c r="B447" s="3"/>
      <c r="C447" s="3"/>
      <c r="D447" s="100"/>
      <c r="E447" s="3"/>
      <c r="F447" s="3"/>
      <c r="G447" s="3"/>
      <c r="H447" s="3"/>
      <c r="I447" s="2"/>
      <c r="J447" s="2"/>
      <c r="K447" s="2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22"/>
      <c r="B448" s="3"/>
      <c r="C448" s="3"/>
      <c r="D448" s="100"/>
      <c r="E448" s="3"/>
      <c r="F448" s="3"/>
      <c r="G448" s="3"/>
      <c r="H448" s="3"/>
      <c r="I448" s="2"/>
      <c r="J448" s="2"/>
      <c r="K448" s="2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22"/>
      <c r="B449" s="3"/>
      <c r="C449" s="3"/>
      <c r="D449" s="100"/>
      <c r="E449" s="3"/>
      <c r="F449" s="3"/>
      <c r="G449" s="3"/>
      <c r="H449" s="3"/>
      <c r="I449" s="2"/>
      <c r="J449" s="2"/>
      <c r="K449" s="2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22"/>
      <c r="B450" s="3"/>
      <c r="C450" s="3"/>
      <c r="D450" s="100"/>
      <c r="E450" s="3"/>
      <c r="F450" s="3"/>
      <c r="G450" s="3"/>
      <c r="H450" s="3"/>
      <c r="I450" s="2"/>
      <c r="J450" s="2"/>
      <c r="K450" s="2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22"/>
      <c r="B451" s="3"/>
      <c r="C451" s="3"/>
      <c r="D451" s="100"/>
      <c r="E451" s="3"/>
      <c r="F451" s="3"/>
      <c r="G451" s="3"/>
      <c r="H451" s="3"/>
      <c r="I451" s="2"/>
      <c r="J451" s="2"/>
      <c r="K451" s="2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22"/>
      <c r="B452" s="3"/>
      <c r="C452" s="3"/>
      <c r="D452" s="100"/>
      <c r="E452" s="3"/>
      <c r="F452" s="3"/>
      <c r="G452" s="3"/>
      <c r="H452" s="3"/>
      <c r="I452" s="2"/>
      <c r="J452" s="2"/>
      <c r="K452" s="2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22"/>
      <c r="B453" s="3"/>
      <c r="C453" s="3"/>
      <c r="D453" s="100"/>
      <c r="E453" s="3"/>
      <c r="F453" s="3"/>
      <c r="G453" s="3"/>
      <c r="H453" s="3"/>
      <c r="I453" s="2"/>
      <c r="J453" s="2"/>
      <c r="K453" s="2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22"/>
      <c r="B454" s="3"/>
      <c r="C454" s="3"/>
      <c r="D454" s="100"/>
      <c r="E454" s="3"/>
      <c r="F454" s="3"/>
      <c r="G454" s="3"/>
      <c r="H454" s="3"/>
      <c r="I454" s="2"/>
      <c r="J454" s="2"/>
      <c r="K454" s="2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22"/>
      <c r="B455" s="3"/>
      <c r="C455" s="3"/>
      <c r="D455" s="100"/>
      <c r="E455" s="3"/>
      <c r="F455" s="3"/>
      <c r="G455" s="3"/>
      <c r="H455" s="3"/>
      <c r="I455" s="2"/>
      <c r="J455" s="2"/>
      <c r="K455" s="2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22"/>
      <c r="B456" s="3"/>
      <c r="C456" s="3"/>
      <c r="D456" s="100"/>
      <c r="E456" s="3"/>
      <c r="F456" s="3"/>
      <c r="G456" s="3"/>
      <c r="H456" s="3"/>
      <c r="I456" s="2"/>
      <c r="J456" s="2"/>
      <c r="K456" s="2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22"/>
      <c r="B457" s="3"/>
      <c r="C457" s="3"/>
      <c r="D457" s="100"/>
      <c r="E457" s="3"/>
      <c r="F457" s="3"/>
      <c r="G457" s="3"/>
      <c r="H457" s="3"/>
      <c r="I457" s="2"/>
      <c r="J457" s="2"/>
      <c r="K457" s="2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22"/>
      <c r="B458" s="3"/>
      <c r="C458" s="3"/>
      <c r="D458" s="100"/>
      <c r="E458" s="3"/>
      <c r="F458" s="3"/>
      <c r="G458" s="3"/>
      <c r="H458" s="3"/>
      <c r="I458" s="2"/>
      <c r="J458" s="2"/>
      <c r="K458" s="2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22"/>
      <c r="B459" s="3"/>
      <c r="C459" s="3"/>
      <c r="D459" s="100"/>
      <c r="E459" s="3"/>
      <c r="F459" s="3"/>
      <c r="G459" s="3"/>
      <c r="H459" s="3"/>
      <c r="I459" s="2"/>
      <c r="J459" s="2"/>
      <c r="K459" s="2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22"/>
      <c r="B460" s="3"/>
      <c r="C460" s="3"/>
      <c r="D460" s="100"/>
      <c r="E460" s="3"/>
      <c r="F460" s="3"/>
      <c r="G460" s="3"/>
      <c r="H460" s="3"/>
      <c r="I460" s="2"/>
      <c r="J460" s="2"/>
      <c r="K460" s="2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22"/>
      <c r="B461" s="3"/>
      <c r="C461" s="3"/>
      <c r="D461" s="100"/>
      <c r="E461" s="3"/>
      <c r="F461" s="3"/>
      <c r="G461" s="3"/>
      <c r="H461" s="3"/>
      <c r="I461" s="2"/>
      <c r="J461" s="2"/>
      <c r="K461" s="2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22"/>
      <c r="B462" s="3"/>
      <c r="C462" s="3"/>
      <c r="D462" s="100"/>
      <c r="E462" s="3"/>
      <c r="F462" s="3"/>
      <c r="G462" s="3"/>
      <c r="H462" s="3"/>
      <c r="I462" s="2"/>
      <c r="J462" s="2"/>
      <c r="K462" s="2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22"/>
      <c r="B463" s="3"/>
      <c r="C463" s="3"/>
      <c r="D463" s="100"/>
      <c r="E463" s="3"/>
      <c r="F463" s="3"/>
      <c r="G463" s="3"/>
      <c r="H463" s="3"/>
      <c r="I463" s="2"/>
      <c r="J463" s="2"/>
      <c r="K463" s="2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22"/>
      <c r="B464" s="3"/>
      <c r="C464" s="3"/>
      <c r="D464" s="100"/>
      <c r="E464" s="3"/>
      <c r="F464" s="3"/>
      <c r="G464" s="3"/>
      <c r="H464" s="3"/>
      <c r="I464" s="2"/>
      <c r="J464" s="2"/>
      <c r="K464" s="2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22"/>
      <c r="B465" s="3"/>
      <c r="C465" s="3"/>
      <c r="D465" s="100"/>
      <c r="E465" s="3"/>
      <c r="F465" s="3"/>
      <c r="G465" s="3"/>
      <c r="H465" s="3"/>
      <c r="I465" s="2"/>
      <c r="J465" s="2"/>
      <c r="K465" s="2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22"/>
      <c r="B466" s="3"/>
      <c r="C466" s="3"/>
      <c r="D466" s="100"/>
      <c r="E466" s="3"/>
      <c r="F466" s="3"/>
      <c r="G466" s="3"/>
      <c r="H466" s="3"/>
      <c r="I466" s="2"/>
      <c r="J466" s="2"/>
      <c r="K466" s="2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22"/>
      <c r="B467" s="3"/>
      <c r="C467" s="3"/>
      <c r="D467" s="100"/>
      <c r="E467" s="3"/>
      <c r="F467" s="3"/>
      <c r="G467" s="3"/>
      <c r="H467" s="3"/>
      <c r="I467" s="2"/>
      <c r="J467" s="2"/>
      <c r="K467" s="2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22"/>
      <c r="B468" s="3"/>
      <c r="C468" s="3"/>
      <c r="D468" s="100"/>
      <c r="E468" s="3"/>
      <c r="F468" s="3"/>
      <c r="G468" s="3"/>
      <c r="H468" s="3"/>
      <c r="I468" s="2"/>
      <c r="J468" s="2"/>
      <c r="K468" s="2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22"/>
      <c r="B469" s="3"/>
      <c r="C469" s="3"/>
      <c r="D469" s="100"/>
      <c r="E469" s="3"/>
      <c r="F469" s="3"/>
      <c r="G469" s="3"/>
      <c r="H469" s="3"/>
      <c r="I469" s="2"/>
      <c r="J469" s="2"/>
      <c r="K469" s="2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22"/>
      <c r="B470" s="3"/>
      <c r="C470" s="3"/>
      <c r="D470" s="100"/>
      <c r="E470" s="3"/>
      <c r="F470" s="3"/>
      <c r="G470" s="3"/>
      <c r="H470" s="3"/>
      <c r="I470" s="2"/>
      <c r="J470" s="2"/>
      <c r="K470" s="2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22"/>
      <c r="B471" s="3"/>
      <c r="C471" s="3"/>
      <c r="D471" s="100"/>
      <c r="E471" s="3"/>
      <c r="F471" s="3"/>
      <c r="G471" s="3"/>
      <c r="H471" s="3"/>
      <c r="I471" s="2"/>
      <c r="J471" s="2"/>
      <c r="K471" s="2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22"/>
      <c r="B472" s="3"/>
      <c r="C472" s="3"/>
      <c r="D472" s="100"/>
      <c r="E472" s="3"/>
      <c r="F472" s="3"/>
      <c r="G472" s="3"/>
      <c r="H472" s="3"/>
      <c r="I472" s="2"/>
      <c r="J472" s="2"/>
      <c r="K472" s="2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22"/>
      <c r="B473" s="3"/>
      <c r="C473" s="3"/>
      <c r="D473" s="100"/>
      <c r="E473" s="3"/>
      <c r="F473" s="3"/>
      <c r="G473" s="3"/>
      <c r="H473" s="3"/>
      <c r="I473" s="2"/>
      <c r="J473" s="2"/>
      <c r="K473" s="2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22"/>
      <c r="B474" s="3"/>
      <c r="C474" s="3"/>
      <c r="D474" s="100"/>
      <c r="E474" s="3"/>
      <c r="F474" s="3"/>
      <c r="G474" s="3"/>
      <c r="H474" s="3"/>
      <c r="I474" s="2"/>
      <c r="J474" s="2"/>
      <c r="K474" s="2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22"/>
      <c r="B475" s="3"/>
      <c r="C475" s="3"/>
      <c r="D475" s="100"/>
      <c r="E475" s="3"/>
      <c r="F475" s="3"/>
      <c r="G475" s="3"/>
      <c r="H475" s="3"/>
      <c r="I475" s="2"/>
      <c r="J475" s="2"/>
      <c r="K475" s="2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22"/>
      <c r="B476" s="3"/>
      <c r="C476" s="3"/>
      <c r="D476" s="100"/>
      <c r="E476" s="3"/>
      <c r="F476" s="3"/>
      <c r="G476" s="3"/>
      <c r="H476" s="3"/>
      <c r="I476" s="2"/>
      <c r="J476" s="2"/>
      <c r="K476" s="2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22"/>
      <c r="B477" s="3"/>
      <c r="C477" s="3"/>
      <c r="D477" s="100"/>
      <c r="E477" s="3"/>
      <c r="F477" s="3"/>
      <c r="G477" s="3"/>
      <c r="H477" s="3"/>
      <c r="I477" s="2"/>
      <c r="J477" s="2"/>
      <c r="K477" s="2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22"/>
      <c r="B478" s="3"/>
      <c r="C478" s="3"/>
      <c r="D478" s="100"/>
      <c r="E478" s="3"/>
      <c r="F478" s="3"/>
      <c r="G478" s="3"/>
      <c r="H478" s="3"/>
      <c r="I478" s="2"/>
      <c r="J478" s="2"/>
      <c r="K478" s="2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22"/>
      <c r="B479" s="3"/>
      <c r="C479" s="3"/>
      <c r="D479" s="100"/>
      <c r="E479" s="3"/>
      <c r="F479" s="3"/>
      <c r="G479" s="3"/>
      <c r="H479" s="3"/>
      <c r="I479" s="2"/>
      <c r="J479" s="2"/>
      <c r="K479" s="2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22"/>
      <c r="B480" s="3"/>
      <c r="C480" s="3"/>
      <c r="D480" s="100"/>
      <c r="E480" s="3"/>
      <c r="F480" s="3"/>
      <c r="G480" s="3"/>
      <c r="H480" s="3"/>
      <c r="I480" s="2"/>
      <c r="J480" s="2"/>
      <c r="K480" s="2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22"/>
      <c r="B481" s="3"/>
      <c r="C481" s="3"/>
      <c r="D481" s="100"/>
      <c r="E481" s="3"/>
      <c r="F481" s="3"/>
      <c r="G481" s="3"/>
      <c r="H481" s="3"/>
      <c r="I481" s="2"/>
      <c r="J481" s="2"/>
      <c r="K481" s="2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22"/>
      <c r="B482" s="3"/>
      <c r="C482" s="3"/>
      <c r="D482" s="100"/>
      <c r="E482" s="3"/>
      <c r="F482" s="3"/>
      <c r="G482" s="3"/>
      <c r="H482" s="3"/>
      <c r="I482" s="2"/>
      <c r="J482" s="2"/>
      <c r="K482" s="2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22"/>
      <c r="B483" s="3"/>
      <c r="C483" s="3"/>
      <c r="D483" s="100"/>
      <c r="E483" s="3"/>
      <c r="F483" s="3"/>
      <c r="G483" s="3"/>
      <c r="H483" s="3"/>
      <c r="I483" s="2"/>
      <c r="J483" s="2"/>
      <c r="K483" s="2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22"/>
      <c r="B484" s="3"/>
      <c r="C484" s="3"/>
      <c r="D484" s="100"/>
      <c r="E484" s="3"/>
      <c r="F484" s="3"/>
      <c r="G484" s="3"/>
      <c r="H484" s="3"/>
      <c r="I484" s="2"/>
      <c r="J484" s="2"/>
      <c r="K484" s="2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22"/>
      <c r="B485" s="3"/>
      <c r="C485" s="3"/>
      <c r="D485" s="100"/>
      <c r="E485" s="3"/>
      <c r="F485" s="3"/>
      <c r="G485" s="3"/>
      <c r="H485" s="3"/>
      <c r="I485" s="2"/>
      <c r="J485" s="2"/>
      <c r="K485" s="2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22"/>
      <c r="B486" s="3"/>
      <c r="C486" s="3"/>
      <c r="D486" s="100"/>
      <c r="E486" s="3"/>
      <c r="F486" s="3"/>
      <c r="G486" s="3"/>
      <c r="H486" s="3"/>
      <c r="I486" s="2"/>
      <c r="J486" s="2"/>
      <c r="K486" s="2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22"/>
      <c r="B487" s="3"/>
      <c r="C487" s="3"/>
      <c r="D487" s="100"/>
      <c r="E487" s="3"/>
      <c r="F487" s="3"/>
      <c r="G487" s="3"/>
      <c r="H487" s="3"/>
      <c r="I487" s="2"/>
      <c r="J487" s="2"/>
      <c r="K487" s="2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22"/>
      <c r="B488" s="3"/>
      <c r="C488" s="3"/>
      <c r="D488" s="100"/>
      <c r="E488" s="3"/>
      <c r="F488" s="3"/>
      <c r="G488" s="3"/>
      <c r="H488" s="3"/>
      <c r="I488" s="2"/>
      <c r="J488" s="2"/>
      <c r="K488" s="2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22"/>
      <c r="B489" s="3"/>
      <c r="C489" s="3"/>
      <c r="D489" s="100"/>
      <c r="E489" s="3"/>
      <c r="F489" s="3"/>
      <c r="G489" s="3"/>
      <c r="H489" s="3"/>
      <c r="I489" s="2"/>
      <c r="J489" s="2"/>
      <c r="K489" s="2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22"/>
      <c r="B490" s="3"/>
      <c r="C490" s="3"/>
      <c r="D490" s="100"/>
      <c r="E490" s="3"/>
      <c r="F490" s="3"/>
      <c r="G490" s="3"/>
      <c r="H490" s="3"/>
      <c r="I490" s="2"/>
      <c r="J490" s="2"/>
      <c r="K490" s="2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22"/>
      <c r="B491" s="3"/>
      <c r="C491" s="3"/>
      <c r="D491" s="100"/>
      <c r="E491" s="3"/>
      <c r="F491" s="3"/>
      <c r="G491" s="3"/>
      <c r="H491" s="3"/>
      <c r="I491" s="2"/>
      <c r="J491" s="2"/>
      <c r="K491" s="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22"/>
      <c r="B492" s="3"/>
      <c r="C492" s="3"/>
      <c r="D492" s="100"/>
      <c r="E492" s="3"/>
      <c r="F492" s="3"/>
      <c r="G492" s="3"/>
      <c r="H492" s="3"/>
      <c r="I492" s="2"/>
      <c r="J492" s="2"/>
      <c r="K492" s="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22"/>
      <c r="B493" s="3"/>
      <c r="C493" s="3"/>
      <c r="D493" s="100"/>
      <c r="E493" s="3"/>
      <c r="F493" s="3"/>
      <c r="G493" s="3"/>
      <c r="H493" s="3"/>
      <c r="I493" s="2"/>
      <c r="J493" s="2"/>
      <c r="K493" s="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22"/>
      <c r="B494" s="3"/>
      <c r="C494" s="3"/>
      <c r="D494" s="100"/>
      <c r="E494" s="3"/>
      <c r="F494" s="3"/>
      <c r="G494" s="3"/>
      <c r="H494" s="3"/>
      <c r="I494" s="2"/>
      <c r="J494" s="2"/>
      <c r="K494" s="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22"/>
      <c r="B495" s="3"/>
      <c r="C495" s="3"/>
      <c r="D495" s="100"/>
      <c r="E495" s="3"/>
      <c r="F495" s="3"/>
      <c r="G495" s="3"/>
      <c r="H495" s="3"/>
      <c r="I495" s="2"/>
      <c r="J495" s="2"/>
      <c r="K495" s="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22"/>
      <c r="B496" s="3"/>
      <c r="C496" s="3"/>
      <c r="D496" s="100"/>
      <c r="E496" s="3"/>
      <c r="F496" s="3"/>
      <c r="G496" s="3"/>
      <c r="H496" s="3"/>
      <c r="I496" s="2"/>
      <c r="J496" s="2"/>
      <c r="K496" s="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22"/>
      <c r="B497" s="3"/>
      <c r="C497" s="3"/>
      <c r="D497" s="100"/>
      <c r="E497" s="3"/>
      <c r="F497" s="3"/>
      <c r="G497" s="3"/>
      <c r="H497" s="3"/>
      <c r="I497" s="2"/>
      <c r="J497" s="2"/>
      <c r="K497" s="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22"/>
      <c r="B498" s="3"/>
      <c r="C498" s="3"/>
      <c r="D498" s="100"/>
      <c r="E498" s="3"/>
      <c r="F498" s="3"/>
      <c r="G498" s="3"/>
      <c r="H498" s="3"/>
      <c r="I498" s="2"/>
      <c r="J498" s="2"/>
      <c r="K498" s="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22"/>
      <c r="B499" s="3"/>
      <c r="C499" s="3"/>
      <c r="D499" s="100"/>
      <c r="E499" s="3"/>
      <c r="F499" s="3"/>
      <c r="G499" s="3"/>
      <c r="H499" s="3"/>
      <c r="I499" s="2"/>
      <c r="J499" s="2"/>
      <c r="K499" s="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22"/>
      <c r="B500" s="3"/>
      <c r="C500" s="3"/>
      <c r="D500" s="100"/>
      <c r="E500" s="3"/>
      <c r="F500" s="3"/>
      <c r="G500" s="3"/>
      <c r="H500" s="3"/>
      <c r="I500" s="2"/>
      <c r="J500" s="2"/>
      <c r="K500" s="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22"/>
      <c r="B501" s="3"/>
      <c r="C501" s="3"/>
      <c r="D501" s="100"/>
      <c r="E501" s="3"/>
      <c r="F501" s="3"/>
      <c r="G501" s="3"/>
      <c r="H501" s="3"/>
      <c r="I501" s="2"/>
      <c r="J501" s="2"/>
      <c r="K501" s="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22"/>
      <c r="B502" s="3"/>
      <c r="C502" s="3"/>
      <c r="D502" s="100"/>
      <c r="E502" s="3"/>
      <c r="F502" s="3"/>
      <c r="G502" s="3"/>
      <c r="H502" s="3"/>
      <c r="I502" s="2"/>
      <c r="J502" s="2"/>
      <c r="K502" s="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22"/>
      <c r="B503" s="3"/>
      <c r="C503" s="3"/>
      <c r="D503" s="100"/>
      <c r="E503" s="3"/>
      <c r="F503" s="3"/>
      <c r="G503" s="3"/>
      <c r="H503" s="3"/>
      <c r="I503" s="2"/>
      <c r="J503" s="2"/>
      <c r="K503" s="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22"/>
      <c r="B504" s="3"/>
      <c r="C504" s="3"/>
      <c r="D504" s="100"/>
      <c r="E504" s="3"/>
      <c r="F504" s="3"/>
      <c r="G504" s="3"/>
      <c r="H504" s="3"/>
      <c r="I504" s="2"/>
      <c r="J504" s="2"/>
      <c r="K504" s="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22"/>
      <c r="B505" s="3"/>
      <c r="C505" s="3"/>
      <c r="D505" s="100"/>
      <c r="E505" s="3"/>
      <c r="F505" s="3"/>
      <c r="G505" s="3"/>
      <c r="H505" s="3"/>
      <c r="I505" s="2"/>
      <c r="J505" s="2"/>
      <c r="K505" s="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22"/>
      <c r="B506" s="3"/>
      <c r="C506" s="3"/>
      <c r="D506" s="100"/>
      <c r="E506" s="3"/>
      <c r="F506" s="3"/>
      <c r="G506" s="3"/>
      <c r="H506" s="3"/>
      <c r="I506" s="2"/>
      <c r="J506" s="2"/>
      <c r="K506" s="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22"/>
      <c r="B507" s="3"/>
      <c r="C507" s="3"/>
      <c r="D507" s="100"/>
      <c r="E507" s="3"/>
      <c r="F507" s="3"/>
      <c r="G507" s="3"/>
      <c r="H507" s="3"/>
      <c r="I507" s="2"/>
      <c r="J507" s="2"/>
      <c r="K507" s="2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22"/>
      <c r="B508" s="3"/>
      <c r="C508" s="3"/>
      <c r="D508" s="100"/>
      <c r="E508" s="3"/>
      <c r="F508" s="3"/>
      <c r="G508" s="3"/>
      <c r="H508" s="3"/>
      <c r="I508" s="2"/>
      <c r="J508" s="2"/>
      <c r="K508" s="2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22"/>
      <c r="B509" s="3"/>
      <c r="C509" s="3"/>
      <c r="D509" s="100"/>
      <c r="E509" s="3"/>
      <c r="F509" s="3"/>
      <c r="G509" s="3"/>
      <c r="H509" s="3"/>
      <c r="I509" s="2"/>
      <c r="J509" s="2"/>
      <c r="K509" s="2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22"/>
      <c r="B510" s="3"/>
      <c r="C510" s="3"/>
      <c r="D510" s="100"/>
      <c r="E510" s="3"/>
      <c r="F510" s="3"/>
      <c r="G510" s="3"/>
      <c r="H510" s="3"/>
      <c r="I510" s="2"/>
      <c r="J510" s="2"/>
      <c r="K510" s="2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22"/>
      <c r="B511" s="3"/>
      <c r="C511" s="3"/>
      <c r="D511" s="100"/>
      <c r="E511" s="3"/>
      <c r="F511" s="3"/>
      <c r="G511" s="3"/>
      <c r="H511" s="3"/>
      <c r="I511" s="2"/>
      <c r="J511" s="2"/>
      <c r="K511" s="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22"/>
      <c r="B512" s="3"/>
      <c r="C512" s="3"/>
      <c r="D512" s="100"/>
      <c r="E512" s="3"/>
      <c r="F512" s="3"/>
      <c r="G512" s="3"/>
      <c r="H512" s="3"/>
      <c r="I512" s="2"/>
      <c r="J512" s="2"/>
      <c r="K512" s="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22"/>
      <c r="B513" s="3"/>
      <c r="C513" s="3"/>
      <c r="D513" s="100"/>
      <c r="E513" s="3"/>
      <c r="F513" s="3"/>
      <c r="G513" s="3"/>
      <c r="H513" s="3"/>
      <c r="I513" s="2"/>
      <c r="J513" s="2"/>
      <c r="K513" s="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22"/>
      <c r="B514" s="3"/>
      <c r="C514" s="3"/>
      <c r="D514" s="100"/>
      <c r="E514" s="3"/>
      <c r="F514" s="3"/>
      <c r="G514" s="3"/>
      <c r="H514" s="3"/>
      <c r="I514" s="2"/>
      <c r="J514" s="2"/>
      <c r="K514" s="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22"/>
      <c r="B515" s="3"/>
      <c r="C515" s="3"/>
      <c r="D515" s="100"/>
      <c r="E515" s="3"/>
      <c r="F515" s="3"/>
      <c r="G515" s="3"/>
      <c r="H515" s="3"/>
      <c r="I515" s="2"/>
      <c r="J515" s="2"/>
      <c r="K515" s="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22"/>
      <c r="B516" s="3"/>
      <c r="C516" s="3"/>
      <c r="D516" s="100"/>
      <c r="E516" s="3"/>
      <c r="F516" s="3"/>
      <c r="G516" s="3"/>
      <c r="H516" s="3"/>
      <c r="I516" s="2"/>
      <c r="J516" s="2"/>
      <c r="K516" s="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22"/>
      <c r="B517" s="3"/>
      <c r="C517" s="3"/>
      <c r="D517" s="100"/>
      <c r="E517" s="3"/>
      <c r="F517" s="3"/>
      <c r="G517" s="3"/>
      <c r="H517" s="3"/>
      <c r="I517" s="2"/>
      <c r="J517" s="2"/>
      <c r="K517" s="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22"/>
      <c r="B518" s="3"/>
      <c r="C518" s="3"/>
      <c r="D518" s="100"/>
      <c r="E518" s="3"/>
      <c r="F518" s="3"/>
      <c r="G518" s="3"/>
      <c r="H518" s="3"/>
      <c r="I518" s="2"/>
      <c r="J518" s="2"/>
      <c r="K518" s="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22"/>
      <c r="B519" s="3"/>
      <c r="C519" s="3"/>
      <c r="D519" s="100"/>
      <c r="E519" s="3"/>
      <c r="F519" s="3"/>
      <c r="G519" s="3"/>
      <c r="H519" s="3"/>
      <c r="I519" s="2"/>
      <c r="J519" s="2"/>
      <c r="K519" s="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22"/>
      <c r="B520" s="3"/>
      <c r="C520" s="3"/>
      <c r="D520" s="100"/>
      <c r="E520" s="3"/>
      <c r="F520" s="3"/>
      <c r="G520" s="3"/>
      <c r="H520" s="3"/>
      <c r="I520" s="2"/>
      <c r="J520" s="2"/>
      <c r="K520" s="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22"/>
      <c r="B521" s="3"/>
      <c r="C521" s="3"/>
      <c r="D521" s="100"/>
      <c r="E521" s="3"/>
      <c r="F521" s="3"/>
      <c r="G521" s="3"/>
      <c r="H521" s="3"/>
      <c r="I521" s="2"/>
      <c r="J521" s="2"/>
      <c r="K521" s="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22"/>
      <c r="B522" s="3"/>
      <c r="C522" s="3"/>
      <c r="D522" s="100"/>
      <c r="E522" s="3"/>
      <c r="F522" s="3"/>
      <c r="G522" s="3"/>
      <c r="H522" s="3"/>
      <c r="I522" s="2"/>
      <c r="J522" s="2"/>
      <c r="K522" s="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22"/>
      <c r="B523" s="3"/>
      <c r="C523" s="3"/>
      <c r="D523" s="100"/>
      <c r="E523" s="3"/>
      <c r="F523" s="3"/>
      <c r="G523" s="3"/>
      <c r="H523" s="3"/>
      <c r="I523" s="2"/>
      <c r="J523" s="2"/>
      <c r="K523" s="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22"/>
      <c r="B524" s="3"/>
      <c r="C524" s="3"/>
      <c r="D524" s="100"/>
      <c r="E524" s="3"/>
      <c r="F524" s="3"/>
      <c r="G524" s="3"/>
      <c r="H524" s="3"/>
      <c r="I524" s="2"/>
      <c r="J524" s="2"/>
      <c r="K524" s="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22"/>
      <c r="B525" s="3"/>
      <c r="C525" s="3"/>
      <c r="D525" s="100"/>
      <c r="E525" s="3"/>
      <c r="F525" s="3"/>
      <c r="G525" s="3"/>
      <c r="H525" s="3"/>
      <c r="I525" s="2"/>
      <c r="J525" s="2"/>
      <c r="K525" s="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22"/>
      <c r="B526" s="3"/>
      <c r="C526" s="3"/>
      <c r="D526" s="100"/>
      <c r="E526" s="3"/>
      <c r="F526" s="3"/>
      <c r="G526" s="3"/>
      <c r="H526" s="3"/>
      <c r="I526" s="2"/>
      <c r="J526" s="2"/>
      <c r="K526" s="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22"/>
      <c r="B527" s="3"/>
      <c r="C527" s="3"/>
      <c r="D527" s="100"/>
      <c r="E527" s="3"/>
      <c r="F527" s="3"/>
      <c r="G527" s="3"/>
      <c r="H527" s="3"/>
      <c r="I527" s="2"/>
      <c r="J527" s="2"/>
      <c r="K527" s="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22"/>
      <c r="B528" s="3"/>
      <c r="C528" s="3"/>
      <c r="D528" s="100"/>
      <c r="E528" s="3"/>
      <c r="F528" s="3"/>
      <c r="G528" s="3"/>
      <c r="H528" s="3"/>
      <c r="I528" s="2"/>
      <c r="J528" s="2"/>
      <c r="K528" s="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22"/>
      <c r="B529" s="3"/>
      <c r="C529" s="3"/>
      <c r="D529" s="100"/>
      <c r="E529" s="3"/>
      <c r="F529" s="3"/>
      <c r="G529" s="3"/>
      <c r="H529" s="3"/>
      <c r="I529" s="2"/>
      <c r="J529" s="2"/>
      <c r="K529" s="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</sheetData>
  <customSheetViews>
    <customSheetView guid="{CD179630-CEA4-44C2-BAF9-DF89828D7E48}" filter="1" showAutoFilter="1">
      <autoFilter ref="$A$1:$J$312">
        <sortState ref="A1:J312">
          <sortCondition ref="A1:A312"/>
        </sortState>
      </autoFilter>
    </customSheetView>
  </customSheetViews>
  <mergeCells count="1">
    <mergeCell ref="A1:J1"/>
  </mergeCells>
  <printOptions/>
  <pageMargins bottom="0.25" footer="0.0" header="0.0" left="0.2" right="0.2" top="0.75"/>
  <pageSetup scale="105" orientation="landscape"/>
  <drawing r:id="rId1"/>
</worksheet>
</file>